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ael.delorme\Documents\SSP - AquaPeche\Enquête 2019\Publication\"/>
    </mc:Choice>
  </mc:AlternateContent>
  <bookViews>
    <workbookView xWindow="0" yWindow="0" windowWidth="13125" windowHeight="6105"/>
  </bookViews>
  <sheets>
    <sheet name="sommaire" sheetId="1" r:id="rId1"/>
    <sheet name="aquaculture_hors_ecloserie" sheetId="2" r:id="rId2"/>
    <sheet name="evolution_aqua_ca_ventes" sheetId="3" r:id="rId3"/>
    <sheet name="evolution_aqua_vol_ventes" sheetId="4" r:id="rId4"/>
    <sheet name="strate_CA" sheetId="5" r:id="rId5"/>
    <sheet name="strate_ETP" sheetId="6" r:id="rId6"/>
    <sheet name="emploi_aquaculture" sheetId="7" r:id="rId7"/>
    <sheet name="conchyliculture_emploi" sheetId="8" r:id="rId8"/>
    <sheet name="pisciculture_emploi" sheetId="9" r:id="rId9"/>
    <sheet name="algoculture_emploi" sheetId="10" r:id="rId10"/>
    <sheet name="emploi_femmes" sheetId="11" r:id="rId11"/>
    <sheet name="emploi_age_dirigeant" sheetId="12" r:id="rId12"/>
    <sheet name="emploi_diplome_dirigeant" sheetId="13" r:id="rId13"/>
    <sheet name="emploi_regime_social_dirigeant" sheetId="14" r:id="rId14"/>
    <sheet name="conchyliculture_france" sheetId="15" r:id="rId15"/>
    <sheet name="conchyliculture_region" sheetId="16" r:id="rId16"/>
    <sheet name="conchyliculture_mode_elevage" sheetId="17" r:id="rId17"/>
    <sheet name="conchyliculture_ecloserie" sheetId="18" r:id="rId18"/>
    <sheet name="conchyliculture_captage" sheetId="19" r:id="rId19"/>
    <sheet name="conchyliculture_origine" sheetId="20" r:id="rId20"/>
    <sheet name="ostreiculture_origine_region" sheetId="21" r:id="rId21"/>
    <sheet name="conchyliculture_destination" sheetId="22" r:id="rId22"/>
    <sheet name="conchyliculture_claires" sheetId="23" r:id="rId23"/>
    <sheet name="conchy_claires_repartition" sheetId="24" r:id="rId24"/>
    <sheet name="conchyliculture_qualite" sheetId="25" r:id="rId25"/>
    <sheet name="ostreiculture_qualite" sheetId="26" r:id="rId26"/>
    <sheet name="mytiliculture_qualite" sheetId="27" r:id="rId27"/>
    <sheet name="conchy_siege_lieu" sheetId="28" r:id="rId28"/>
    <sheet name="conchy_lieu_detaille" sheetId="29" r:id="rId29"/>
    <sheet name="pisciculture_france" sheetId="30" r:id="rId30"/>
    <sheet name="pisciculture_region" sheetId="31" r:id="rId31"/>
    <sheet name="pisciculture_ecloserie" sheetId="32" r:id="rId32"/>
    <sheet name="pisciculture_CA_region" sheetId="33" r:id="rId33"/>
    <sheet name="pisciculture_evenements_except" sheetId="34" r:id="rId34"/>
    <sheet name="pisci_eau_douce_destination" sheetId="35" r:id="rId35"/>
    <sheet name="pisci_marine_destination" sheetId="36" r:id="rId36"/>
    <sheet name="pisci_oeufs_destination" sheetId="37" r:id="rId37"/>
    <sheet name="export_pisciculture" sheetId="38" r:id="rId38"/>
    <sheet name="pisciculture_calibre" sheetId="39" r:id="rId39"/>
    <sheet name="pisciculture_selon_transfo" sheetId="40" r:id="rId40"/>
    <sheet name="pisciculture_lignee" sheetId="41" r:id="rId41"/>
    <sheet name="pisciculture_alimentation" sheetId="42" r:id="rId42"/>
    <sheet name="pisciculture_statut" sheetId="43" r:id="rId43"/>
    <sheet name="pisciculture_site" sheetId="44" r:id="rId44"/>
    <sheet name="pisciculture_activite_pincipale" sheetId="45" r:id="rId45"/>
    <sheet name="pisci_activite_secondaire" sheetId="46" r:id="rId46"/>
    <sheet name="pisciculture_compta" sheetId="47" r:id="rId47"/>
    <sheet name="pisciculture_conseil" sheetId="48" r:id="rId48"/>
    <sheet name="pisciculture_assurance" sheetId="49" r:id="rId49"/>
    <sheet name="pisciculture_innovation" sheetId="50" r:id="rId50"/>
    <sheet name="pisciculture_AMTI" sheetId="51" r:id="rId51"/>
    <sheet name="pisciculture_rejet_entree" sheetId="52" r:id="rId52"/>
    <sheet name="pisciculture_rejet_traitement" sheetId="53" r:id="rId53"/>
    <sheet name="pisciculture_rejet_boue" sheetId="54" r:id="rId54"/>
    <sheet name="pisciculture_recircule" sheetId="55" r:id="rId55"/>
    <sheet name="pisciculture_predation" sheetId="56" r:id="rId56"/>
    <sheet name="pisciculture_distri_aliments" sheetId="57" r:id="rId57"/>
    <sheet name="pisciculture_oxygene" sheetId="58" r:id="rId58"/>
    <sheet name="pisciculture_aeration" sheetId="59" r:id="rId59"/>
    <sheet name="pisciculture_manipulation" sheetId="60" r:id="rId60"/>
    <sheet name="pisciculture_passes_poissons" sheetId="61" r:id="rId61"/>
    <sheet name="pisciculture_abattage" sheetId="62" r:id="rId62"/>
    <sheet name="pisciculture_navire" sheetId="63" r:id="rId63"/>
    <sheet name="pisciculture_sites_bio" sheetId="64" r:id="rId64"/>
    <sheet name="pisciculture_qualite" sheetId="65" r:id="rId65"/>
    <sheet name="pisciculture_qualite_systeme" sheetId="66" r:id="rId66"/>
    <sheet name="pisciculture_traitement_eau" sheetId="67" r:id="rId67"/>
    <sheet name="pisciculture_autor_agrement" sheetId="68" r:id="rId68"/>
    <sheet name="pisciculture_transmission" sheetId="69" r:id="rId69"/>
    <sheet name="algoculture_espece_adulte" sheetId="70" r:id="rId70"/>
    <sheet name="algoculture_region_adulte" sheetId="71" r:id="rId71"/>
    <sheet name="algoculture_evenements_except" sheetId="72" r:id="rId72"/>
    <sheet name="algoculture_selon_transfo" sheetId="73" r:id="rId73"/>
    <sheet name="algoculture_selon_destination" sheetId="74" r:id="rId74"/>
    <sheet name="algoculture_selon_export" sheetId="75" r:id="rId75"/>
    <sheet name="algoculture_selon_qualite" sheetId="76" r:id="rId76"/>
    <sheet name="algoculture_statut" sheetId="77" r:id="rId77"/>
    <sheet name="algoculture_site" sheetId="78" r:id="rId78"/>
    <sheet name="algoculture_activite_pincipale" sheetId="79" r:id="rId79"/>
    <sheet name="algoculture_activite_secondaire" sheetId="80" r:id="rId80"/>
    <sheet name="algoculture_compta" sheetId="81" r:id="rId81"/>
    <sheet name="algoculture_conseil" sheetId="82" r:id="rId82"/>
    <sheet name="algoculture_assurance" sheetId="83" r:id="rId83"/>
    <sheet name="algoculture_innovation" sheetId="84" r:id="rId84"/>
    <sheet name="algoculture_AMTI" sheetId="86" r:id="rId85"/>
    <sheet name="algoculture_rejet" sheetId="87" r:id="rId86"/>
    <sheet name="algoculture_energie" sheetId="88" r:id="rId87"/>
    <sheet name="algoculture_navire" sheetId="89" r:id="rId88"/>
    <sheet name="algoculture_transmission" sheetId="90" r:id="rId89"/>
  </sheets>
  <calcPr calcId="162913"/>
</workbook>
</file>

<file path=xl/calcChain.xml><?xml version="1.0" encoding="utf-8"?>
<calcChain xmlns="http://schemas.openxmlformats.org/spreadsheetml/2006/main">
  <c r="A112" i="1" l="1"/>
  <c r="A111" i="1"/>
  <c r="A110" i="1"/>
  <c r="A109" i="1"/>
  <c r="A107" i="1"/>
  <c r="A106" i="1"/>
  <c r="A105" i="1"/>
  <c r="A104" i="1"/>
  <c r="A103" i="1"/>
  <c r="A102" i="1"/>
  <c r="A101" i="1"/>
  <c r="A100" i="1"/>
  <c r="A114" i="1"/>
  <c r="A98" i="1"/>
  <c r="A97" i="1"/>
  <c r="A96" i="1"/>
  <c r="A93" i="1"/>
  <c r="A92" i="1"/>
  <c r="A91" i="1"/>
  <c r="A87" i="1"/>
  <c r="A76" i="1"/>
  <c r="A72" i="1"/>
  <c r="A65" i="1" l="1"/>
  <c r="A64" i="1"/>
  <c r="A63" i="1"/>
  <c r="A62" i="1"/>
  <c r="A61" i="1"/>
  <c r="A60" i="1"/>
  <c r="A59" i="1"/>
  <c r="A58" i="1"/>
  <c r="A54" i="1"/>
  <c r="A50" i="1"/>
  <c r="A49" i="1"/>
  <c r="A48" i="1"/>
  <c r="A46" i="1"/>
  <c r="A45" i="1"/>
  <c r="A44" i="1"/>
  <c r="A43" i="1"/>
  <c r="A42" i="1"/>
  <c r="A38" i="1"/>
  <c r="A37" i="1"/>
  <c r="A35" i="1"/>
  <c r="A34" i="1"/>
  <c r="A33" i="1"/>
  <c r="A32" i="1"/>
  <c r="A31" i="1"/>
  <c r="A30" i="1"/>
  <c r="A28" i="1"/>
  <c r="A27" i="1"/>
  <c r="A26" i="1"/>
  <c r="A25" i="1"/>
  <c r="A24" i="1"/>
  <c r="A23" i="1"/>
  <c r="A22" i="1"/>
  <c r="A18" i="1"/>
  <c r="A17" i="1"/>
  <c r="A16" i="1"/>
  <c r="A15" i="1"/>
  <c r="A14" i="1"/>
  <c r="A13" i="1"/>
  <c r="A12" i="1"/>
  <c r="A11" i="1"/>
  <c r="A8" i="1"/>
  <c r="A7" i="1"/>
  <c r="A6" i="1"/>
  <c r="A5" i="1"/>
  <c r="A4" i="1"/>
  <c r="D5" i="18" l="1"/>
  <c r="C6" i="35" l="1"/>
  <c r="D6" i="35"/>
  <c r="B6" i="35"/>
  <c r="G18" i="9"/>
  <c r="G6" i="9"/>
  <c r="G7" i="9"/>
  <c r="G8" i="9"/>
  <c r="G9" i="9"/>
  <c r="G10" i="9"/>
  <c r="G11" i="9"/>
  <c r="G12" i="9"/>
  <c r="G13" i="9"/>
  <c r="G14" i="9"/>
  <c r="G15" i="9"/>
  <c r="G16" i="9"/>
  <c r="G17" i="9"/>
  <c r="G5" i="9"/>
  <c r="D20" i="2" l="1"/>
  <c r="C20" i="2"/>
  <c r="E20" i="2"/>
  <c r="E21" i="60"/>
  <c r="E22" i="60"/>
  <c r="E23" i="60"/>
  <c r="E24" i="60"/>
  <c r="E25" i="60"/>
  <c r="E26" i="60"/>
  <c r="E27" i="60"/>
  <c r="E28" i="60"/>
  <c r="F21" i="60"/>
  <c r="F22" i="60"/>
  <c r="F23" i="60"/>
  <c r="F24" i="60"/>
  <c r="F25" i="60"/>
  <c r="F26" i="60"/>
  <c r="F27" i="60"/>
  <c r="F28" i="60"/>
  <c r="D21" i="60"/>
  <c r="D22" i="60"/>
  <c r="D23" i="60"/>
  <c r="D24" i="60"/>
  <c r="D25" i="60"/>
  <c r="D26" i="60"/>
  <c r="D27" i="60"/>
  <c r="D28" i="60"/>
  <c r="C20" i="60"/>
  <c r="D20" i="60"/>
  <c r="E20" i="60"/>
  <c r="F20" i="60"/>
  <c r="C21" i="60"/>
  <c r="C22" i="60"/>
  <c r="C23" i="60"/>
  <c r="C24" i="60"/>
  <c r="C25" i="60"/>
  <c r="C26" i="60"/>
  <c r="B21" i="60"/>
  <c r="B22" i="60"/>
  <c r="B23" i="60"/>
  <c r="B24" i="60"/>
  <c r="B25" i="60"/>
  <c r="B26" i="60"/>
  <c r="B20" i="60"/>
  <c r="C16" i="57"/>
  <c r="B16" i="57"/>
  <c r="E15" i="57"/>
  <c r="F15" i="57"/>
  <c r="G15" i="57"/>
  <c r="E16" i="57"/>
  <c r="F16" i="57"/>
  <c r="G16" i="57"/>
  <c r="E17" i="57"/>
  <c r="F17" i="57"/>
  <c r="G17" i="57"/>
  <c r="E18" i="57"/>
  <c r="F18" i="57"/>
  <c r="G18" i="57"/>
  <c r="D16" i="57"/>
  <c r="D17" i="57"/>
  <c r="D18" i="57"/>
  <c r="C15" i="57"/>
  <c r="D15" i="57"/>
  <c r="B15" i="57"/>
  <c r="C17" i="56"/>
  <c r="D17" i="56"/>
  <c r="E17" i="56"/>
  <c r="F17" i="56"/>
  <c r="G17" i="56"/>
  <c r="C18" i="56"/>
  <c r="D18" i="56"/>
  <c r="E18" i="56"/>
  <c r="F18" i="56"/>
  <c r="G18" i="56"/>
  <c r="C19" i="56"/>
  <c r="D19" i="56"/>
  <c r="E19" i="56"/>
  <c r="F19" i="56"/>
  <c r="G19" i="56"/>
  <c r="C20" i="56"/>
  <c r="D20" i="56"/>
  <c r="E20" i="56"/>
  <c r="F20" i="56"/>
  <c r="G20" i="56"/>
  <c r="C21" i="56"/>
  <c r="D21" i="56"/>
  <c r="E21" i="56"/>
  <c r="F21" i="56"/>
  <c r="G21" i="56"/>
  <c r="C22" i="56"/>
  <c r="D22" i="56"/>
  <c r="E22" i="56"/>
  <c r="F22" i="56"/>
  <c r="G22" i="56"/>
  <c r="B18" i="56"/>
  <c r="B19" i="56"/>
  <c r="B20" i="56"/>
  <c r="B21" i="56"/>
  <c r="B22" i="56"/>
  <c r="B17" i="56"/>
  <c r="D18" i="53"/>
  <c r="D19" i="53"/>
  <c r="D20" i="53"/>
  <c r="D21" i="53"/>
  <c r="D22" i="53"/>
  <c r="D17" i="53"/>
  <c r="C18" i="53"/>
  <c r="C19" i="53"/>
  <c r="C20" i="53"/>
  <c r="C21" i="53"/>
  <c r="C22" i="53"/>
  <c r="C17" i="53"/>
  <c r="B18" i="53"/>
  <c r="B20" i="53"/>
  <c r="B21" i="53"/>
  <c r="B17" i="53"/>
  <c r="A94" i="1" l="1"/>
  <c r="A85" i="1"/>
  <c r="A84" i="1"/>
  <c r="A83" i="1"/>
  <c r="A82" i="1"/>
  <c r="A81" i="1"/>
  <c r="A79" i="1"/>
  <c r="A78" i="1"/>
  <c r="A77" i="1"/>
  <c r="A75" i="1"/>
  <c r="A74" i="1"/>
  <c r="A73" i="1"/>
  <c r="A71" i="1"/>
  <c r="A70" i="1"/>
  <c r="A69" i="1"/>
  <c r="A68" i="1"/>
  <c r="A67" i="1"/>
  <c r="A56" i="1"/>
  <c r="A53" i="1"/>
  <c r="A52" i="1"/>
  <c r="A51" i="1"/>
  <c r="E1" i="90" l="1"/>
  <c r="F1" i="89"/>
  <c r="H1" i="88"/>
  <c r="H1" i="87"/>
  <c r="D1" i="86"/>
  <c r="H1" i="84"/>
  <c r="H1" i="83"/>
  <c r="H1" i="82"/>
  <c r="G1" i="81"/>
  <c r="H1" i="80"/>
  <c r="E1" i="79"/>
  <c r="G1" i="78"/>
  <c r="H1" i="77"/>
  <c r="F1" i="76"/>
  <c r="F1" i="75"/>
  <c r="G1" i="74"/>
  <c r="F1" i="73"/>
  <c r="G1" i="72"/>
  <c r="I1" i="71"/>
  <c r="I1" i="70"/>
  <c r="G1" i="69"/>
  <c r="G1" i="68"/>
  <c r="H1" i="67"/>
  <c r="G1" i="66"/>
  <c r="I1" i="65"/>
  <c r="G1" i="64"/>
  <c r="F1" i="63"/>
  <c r="G1" i="62"/>
  <c r="E1" i="61"/>
  <c r="H1" i="60"/>
  <c r="G1" i="59"/>
  <c r="G1" i="58"/>
  <c r="I1" i="57"/>
  <c r="I1" i="56"/>
  <c r="F1" i="55"/>
  <c r="E1" i="54"/>
  <c r="F1" i="53"/>
  <c r="E1" i="52"/>
  <c r="H1" i="51"/>
  <c r="H1" i="50"/>
  <c r="K1" i="49"/>
  <c r="J1" i="48"/>
  <c r="G1" i="47"/>
  <c r="I1" i="46"/>
  <c r="E1" i="45"/>
  <c r="F1" i="44"/>
  <c r="H1" i="43"/>
  <c r="H1" i="42"/>
  <c r="H1" i="41"/>
  <c r="J1" i="40"/>
  <c r="J1" i="39"/>
  <c r="E1" i="38"/>
  <c r="E1" i="37"/>
  <c r="D1" i="36"/>
  <c r="F1" i="35"/>
  <c r="G1" i="34"/>
  <c r="E1" i="33"/>
  <c r="H1" i="32"/>
  <c r="J1" i="31"/>
  <c r="I1" i="30"/>
  <c r="F1" i="29"/>
  <c r="L1" i="28"/>
  <c r="J1" i="27"/>
  <c r="I1" i="26"/>
  <c r="I1" i="25"/>
  <c r="I1" i="24"/>
  <c r="D1" i="23"/>
  <c r="F1" i="22"/>
  <c r="E1" i="21"/>
  <c r="J1" i="20"/>
  <c r="H1" i="19"/>
  <c r="F1" i="18"/>
  <c r="J1" i="17"/>
  <c r="J1" i="16"/>
  <c r="J1" i="15"/>
  <c r="H1" i="14"/>
  <c r="H1" i="13"/>
  <c r="H1" i="12"/>
  <c r="G1" i="11"/>
  <c r="J1" i="10"/>
  <c r="J1" i="9"/>
  <c r="J1" i="8"/>
  <c r="J1" i="7"/>
  <c r="G1" i="6"/>
  <c r="H1" i="5"/>
  <c r="I1" i="4"/>
  <c r="I1" i="3"/>
  <c r="G1" i="2"/>
</calcChain>
</file>

<file path=xl/sharedStrings.xml><?xml version="1.0" encoding="utf-8"?>
<sst xmlns="http://schemas.openxmlformats.org/spreadsheetml/2006/main" count="3608" uniqueCount="1034">
  <si>
    <t>Sommaire</t>
  </si>
  <si>
    <t>Aquaculture en 2018</t>
  </si>
  <si>
    <t>Emploi en aquaculture en 2018</t>
  </si>
  <si>
    <t>Conchyliculture en 2018</t>
  </si>
  <si>
    <t>Production de la conchyliculture</t>
  </si>
  <si>
    <t>Répartition des productions de la conchyliculture</t>
  </si>
  <si>
    <t>Localisation des productions de la conchyliculture</t>
  </si>
  <si>
    <t>Pisciculture en 2018</t>
  </si>
  <si>
    <t>Production de la pisciculture</t>
  </si>
  <si>
    <t>Répartition des productions de la pisciculture</t>
  </si>
  <si>
    <t>Alimentation en pisciculture</t>
  </si>
  <si>
    <t>Gestion de l'entreprise</t>
  </si>
  <si>
    <t>Moyens de production de l'entreprise</t>
  </si>
  <si>
    <t>Navires utilisées pour la pisciculture marine</t>
  </si>
  <si>
    <t>Autorisations et agréments des sites</t>
  </si>
  <si>
    <t>Culture d'algues et de cyanobactéries en 2018</t>
  </si>
  <si>
    <t>Innovation</t>
  </si>
  <si>
    <t>Cessation d'activite</t>
  </si>
  <si>
    <t>Ventes à la consommation de produits de l'aquaculture à l'exception des écloseries et nurseries</t>
  </si>
  <si>
    <t>Espèce</t>
  </si>
  <si>
    <t>Entreprises productrices</t>
  </si>
  <si>
    <t>Volume</t>
  </si>
  <si>
    <t>Valeur</t>
  </si>
  <si>
    <t>Prix unitaire</t>
  </si>
  <si>
    <t>nombre d'entreprises</t>
  </si>
  <si>
    <t>tonne</t>
  </si>
  <si>
    <t>millier d'€</t>
  </si>
  <si>
    <t>€ / kg</t>
  </si>
  <si>
    <t>Coquillages et crustacés</t>
  </si>
  <si>
    <t>Huîtres</t>
  </si>
  <si>
    <t>Moules</t>
  </si>
  <si>
    <t>Autres coquillages (coque, palourde, ormeau...)</t>
  </si>
  <si>
    <t>Crustacés (crevette...)</t>
  </si>
  <si>
    <t>Poissons</t>
  </si>
  <si>
    <t>Truites et autres salmonidés - chair</t>
  </si>
  <si>
    <t>Truites et autres salmonidés - oeufs pour consommation</t>
  </si>
  <si>
    <t>Esturgeons - caviar</t>
  </si>
  <si>
    <t>Poissons d'étangs</t>
  </si>
  <si>
    <t>Poissons marins</t>
  </si>
  <si>
    <t>Algues et de cyanobactéries</t>
  </si>
  <si>
    <t>Spiruline (poids sec)</t>
  </si>
  <si>
    <t>Algues</t>
  </si>
  <si>
    <t>Note : vente finale des produits en taille marchande (hors ventes entre professionnels).</t>
  </si>
  <si>
    <t>Les volumes sont en poids vif sauf spiruline en poids sec.</t>
  </si>
  <si>
    <t>Une entreprise qui produit plusieurs espèces sera comptée plusieurs fois.</t>
  </si>
  <si>
    <t xml:space="preserve"> </t>
  </si>
  <si>
    <t>Source : Agreste - Enquête aquaculture 2018 - Recensement de la pisciculture, de la culture d'algues et de cyanobactéries 2018</t>
  </si>
  <si>
    <t>Evolution des ventes finales de produits issus de l'aquaculture, en valeur</t>
  </si>
  <si>
    <t>Activité</t>
  </si>
  <si>
    <t>2008</t>
  </si>
  <si>
    <t>2013</t>
  </si>
  <si>
    <t>millions d'€</t>
  </si>
  <si>
    <t>%</t>
  </si>
  <si>
    <t>Conchyliculture</t>
  </si>
  <si>
    <t>Autres coquillages</t>
  </si>
  <si>
    <t>Pisciculture</t>
  </si>
  <si>
    <t>Salmonidés dont œufs pour la consommation</t>
  </si>
  <si>
    <t>Autres poissons d'eau douce hors étang dont caviar</t>
  </si>
  <si>
    <t>Culture d'algues et de cyanobactéries</t>
  </si>
  <si>
    <t>Algues et spiruline</t>
  </si>
  <si>
    <t>nd</t>
  </si>
  <si>
    <t>Calcul des taux d'évolution : ((Va-Vd)/Vd)*100 où Va est la valeur d'arrivée et Vd la valeur de départ.</t>
  </si>
  <si>
    <t>Source : Enquête annuelle aquaculture : DPMA (2008 et 2013) - Agreste (2018)</t>
  </si>
  <si>
    <t>Evolution des ventes finales de produits issus de l'aquaculture, en volume</t>
  </si>
  <si>
    <t>Salmonidés</t>
  </si>
  <si>
    <t>Caviar</t>
  </si>
  <si>
    <t>Répartition des entreprises par chiffre d'affaires (CA) aquacole et activité principale</t>
  </si>
  <si>
    <t>en nombre d'entreprises</t>
  </si>
  <si>
    <t>Tranches de CA aquacole</t>
  </si>
  <si>
    <t>Conchyliculture et élevage de crustacés</t>
  </si>
  <si>
    <t>Pisciculture en eau douce hors étang</t>
  </si>
  <si>
    <t>Pisciculture en étangs</t>
  </si>
  <si>
    <t>Pisciculture marine</t>
  </si>
  <si>
    <t>Cultures d'algues et de cyanobactéries</t>
  </si>
  <si>
    <t>s</t>
  </si>
  <si>
    <t>Ensemble</t>
  </si>
  <si>
    <t>Note : l'activité principale d'une entreprise est l'activité aquacole qui a généré le chiffre d'affaires le plus élevé en 2018.</t>
  </si>
  <si>
    <t>Toutes les ventes aquacoles sont comptabilisées dans le calcul du chiffre d'affaires : ventes finales et ventes entre professionnels à tout stade d'élevage,  y compris ventes de naissains et de prégrossis.</t>
  </si>
  <si>
    <t>Tout ce qui est directement en lien avec la vente d'un produit aquacole n'est pas comptabilité dans la CA aquacole : hébergement, service...</t>
  </si>
  <si>
    <t>Lecture : il y a 203 entreprises dont l'activité principale en 2018 est la conchyliculture et l'élevage de crustacés et dont le chiffre d'affaires aquacole est compris entre 150 000 et 200 000 euros.</t>
  </si>
  <si>
    <t>Répartition des entreprises par équivalent temps plein (ETP) et activité principale</t>
  </si>
  <si>
    <t>Tranches d'ETP</t>
  </si>
  <si>
    <t>Nombre d'entreprises</t>
  </si>
  <si>
    <t>Effectif cumulé</t>
  </si>
  <si>
    <t>ETP cumulé</t>
  </si>
  <si>
    <t>Chiffre d'affaires cumulé</t>
  </si>
  <si>
    <t>nombre de personnes</t>
  </si>
  <si>
    <t>Total conchyliculture</t>
  </si>
  <si>
    <t>Total pisciculture en eau douce hors étang</t>
  </si>
  <si>
    <t>Total pisciculture en étangs</t>
  </si>
  <si>
    <t>Total pisciculture marine</t>
  </si>
  <si>
    <t>Total culture d'algues et de cyanobactéries</t>
  </si>
  <si>
    <t>Les ETP comprennent toutes les personnes travaillant au sein de l'entreprise aquacole : dirigeants, employés salariés et non salariés, permanents et occasionnels.</t>
  </si>
  <si>
    <t>Lecture : il y a 786 entreprises dont l'activité principale est la conchyiculture et qui ont entre 1 et 2 ETP en 2018. Ces 786 entreprises ont un effectif cumulé de 1634 personnes pour 932 ETP. Elles génèrent 56 712 000 euros de chiffre d'affaires cumulé.</t>
  </si>
  <si>
    <t>Emploi en aquaculture</t>
  </si>
  <si>
    <t>Activité principale</t>
  </si>
  <si>
    <t>Effectif permanent</t>
  </si>
  <si>
    <t>Effectif occasionnel</t>
  </si>
  <si>
    <t>Effectif total</t>
  </si>
  <si>
    <t>ETP</t>
  </si>
  <si>
    <t>ETP moyen par entreprise</t>
  </si>
  <si>
    <t>ETP médian par entreprise</t>
  </si>
  <si>
    <t>nombre d'ETP</t>
  </si>
  <si>
    <t xml:space="preserve">Evolution depuis le dernier recensement : </t>
  </si>
  <si>
    <t xml:space="preserve">- Conchyliculture (en 2012) : 2 864 entreprises --&gt; baisse de 11 % </t>
  </si>
  <si>
    <t>- Pisciculture en eau douce hors étang (en 2008) : 355 entreprises --&gt; baisse de 3 %</t>
  </si>
  <si>
    <t>- Pisciculture marine (en 2008) : 40 entreprises --&gt; baisse de 25 %</t>
  </si>
  <si>
    <t>Région du siège de l'entreprise</t>
  </si>
  <si>
    <t>Normandie - Mer du Nord</t>
  </si>
  <si>
    <t>Bretagne Nord</t>
  </si>
  <si>
    <t>Bretagne Sud</t>
  </si>
  <si>
    <t>Pays de la Loire</t>
  </si>
  <si>
    <t>Charente-Maritime</t>
  </si>
  <si>
    <t>Arcachon Aquitaine</t>
  </si>
  <si>
    <t>Méditerranée</t>
  </si>
  <si>
    <t>Champ : entreprises dont la majorité du chiffre d'affaires est généré par la conchyliculture et l'élevage de crustacés.</t>
  </si>
  <si>
    <t xml:space="preserve">Evolution du nombre d'entreprises depuis le dernier recensement (2008) : </t>
  </si>
  <si>
    <t>- Normandie - Mer du Nord : 322 --&gt; 307 : -5 %</t>
  </si>
  <si>
    <t>- Bretagne Nord : 236 --&gt; 227 : -4 %</t>
  </si>
  <si>
    <t>- Bretagne Sud : 388 --&gt; 369 : -5 %</t>
  </si>
  <si>
    <t>- Pays de la Loire : 300 --&gt; 236 : -21 %</t>
  </si>
  <si>
    <t>- Charente-Martime : 789 --&gt; 688 : -13 %</t>
  </si>
  <si>
    <t>- Arcachon Aquitaine : 302 --&gt; 269 : -11 %</t>
  </si>
  <si>
    <t>- Méditerranée : 527 --&gt; 446 : -15 %</t>
  </si>
  <si>
    <t xml:space="preserve">Source : Agreste - Enquête aquaculture 2018 </t>
  </si>
  <si>
    <t>Auvergne-Rhône-Alpes</t>
  </si>
  <si>
    <t>Bourgogne-Franche-Comté</t>
  </si>
  <si>
    <t>Bretagne</t>
  </si>
  <si>
    <t>Centre-Val de Loire</t>
  </si>
  <si>
    <t>Corse</t>
  </si>
  <si>
    <t>Grand Est</t>
  </si>
  <si>
    <t>Hauts-de-France</t>
  </si>
  <si>
    <t>Île-de-France</t>
  </si>
  <si>
    <t>Normandie</t>
  </si>
  <si>
    <t>Nouvelle-Aquitaine</t>
  </si>
  <si>
    <t>Occitanie</t>
  </si>
  <si>
    <t>Provence-Alpes-Côte d'Azur</t>
  </si>
  <si>
    <t>Champ : entreprises dont la majorité du chiffre d'affaires est généré par la pisciculture.</t>
  </si>
  <si>
    <t xml:space="preserve">Source : Agreste - Recensement de la pisciculture 2018 </t>
  </si>
  <si>
    <t>Emploi en culture d'algues et de cyanobactéries</t>
  </si>
  <si>
    <t>Grand Est + Bourgogne-Franche-Comté</t>
  </si>
  <si>
    <t>Hauts-de-France	+ Normandie</t>
  </si>
  <si>
    <t>Pays de la Loire	+ Centre-Val de Loire</t>
  </si>
  <si>
    <t>Provence-Alpes-Côte d'Azur + Corse</t>
  </si>
  <si>
    <t>Champ : entreprises dont la majorité du chiffre d'affaires est généré par la culture d'algues et de cyanobactéries.</t>
  </si>
  <si>
    <t xml:space="preserve">Source : Agreste - Recensement de la culture d'algues et de cyanobactéries 2018 </t>
  </si>
  <si>
    <t>Part des femmes dans les entreprises aquacoles</t>
  </si>
  <si>
    <t>en %</t>
  </si>
  <si>
    <t>Proportion de femmes parmi les dirigeants</t>
  </si>
  <si>
    <t>Proportion de femmes parmi les employés permanents</t>
  </si>
  <si>
    <t>Proportion de femmes parmi les employés occasionnels</t>
  </si>
  <si>
    <t>Proportion de femmes dans les ETP de l'entreprise</t>
  </si>
  <si>
    <t xml:space="preserve">Source : Agreste - Enquête aquaculture 2018 - Recensement de la culture d'algues et de cyanobactéries 2018 </t>
  </si>
  <si>
    <t>Répartition des dirigeants des entreprises aquacoles par âge et par activité principale de l'entreprise</t>
  </si>
  <si>
    <t>en nombre de dirigeants</t>
  </si>
  <si>
    <t>Classe d'âge</t>
  </si>
  <si>
    <t>A - [0;20[</t>
  </si>
  <si>
    <t>B - [20;25[</t>
  </si>
  <si>
    <t>C - [25;30[</t>
  </si>
  <si>
    <t>D - [30;35[</t>
  </si>
  <si>
    <t>E - [35;40[</t>
  </si>
  <si>
    <t>F - [40;45[</t>
  </si>
  <si>
    <t>G - [45;50[</t>
  </si>
  <si>
    <t>H - [50;55[</t>
  </si>
  <si>
    <t>I - [55;60[</t>
  </si>
  <si>
    <t>J - [60;65[</t>
  </si>
  <si>
    <t>K - [65;70[</t>
  </si>
  <si>
    <t>L - [70;inf[</t>
  </si>
  <si>
    <t>XX - Indéterminé</t>
  </si>
  <si>
    <t>Répartition des dirigeants des entreprises aquacoles par diplôme et par activité principale de l'entreprise</t>
  </si>
  <si>
    <t>Diplôme</t>
  </si>
  <si>
    <t>Diplôme toute filière confondue</t>
  </si>
  <si>
    <t/>
  </si>
  <si>
    <t>Aucun diplôme</t>
  </si>
  <si>
    <t>CAP BEP</t>
  </si>
  <si>
    <t>Bac</t>
  </si>
  <si>
    <t>Bac + 2</t>
  </si>
  <si>
    <t>Licence et plus</t>
  </si>
  <si>
    <t>Indéterminé</t>
  </si>
  <si>
    <t>Diplôme aquacole</t>
  </si>
  <si>
    <t>BAA/CAPA</t>
  </si>
  <si>
    <t>BEPA/BPA</t>
  </si>
  <si>
    <t>BTA/BATA/Bac pro ou techno/BPREA</t>
  </si>
  <si>
    <t>BTSA</t>
  </si>
  <si>
    <t>Licence/Ingenieur</t>
  </si>
  <si>
    <t>Note : un dirigeant peut avoir un diplôme dans une filière non aquacole et un diplôme en filière aquacole, ou dans l'une ou l'autre des filières.</t>
  </si>
  <si>
    <t>Répartition des dirigeants des entreprises aquacoles par régime social et par activité principale de l'entreprise</t>
  </si>
  <si>
    <t>Régime social</t>
  </si>
  <si>
    <t>Enim</t>
  </si>
  <si>
    <t>MSA</t>
  </si>
  <si>
    <t>Régime général</t>
  </si>
  <si>
    <t>Ventes entre professionnels et ventes pour la consommation en conchyliculture en 2018, par espèce, hors écloserie / nurserie (naissains)</t>
  </si>
  <si>
    <t>Stade d'élevage</t>
  </si>
  <si>
    <t>Entreprises avec des ventes</t>
  </si>
  <si>
    <t>Destination</t>
  </si>
  <si>
    <t>Pertes estimées</t>
  </si>
  <si>
    <t>Huître creuse</t>
  </si>
  <si>
    <t>Adulte</t>
  </si>
  <si>
    <t>Consommateur</t>
  </si>
  <si>
    <t>Autre conchyliculteur</t>
  </si>
  <si>
    <t>Prégrossissement ou demi-élevage</t>
  </si>
  <si>
    <t>Huître plate</t>
  </si>
  <si>
    <t>Moule edulis</t>
  </si>
  <si>
    <t>Moule galloprovincialis</t>
  </si>
  <si>
    <t>Coque</t>
  </si>
  <si>
    <t>Palourde</t>
  </si>
  <si>
    <t>Autres coquillages dont ormeau</t>
  </si>
  <si>
    <t>Note : une entreprise qui produit plusieurs espèces ou qui vend des adultes et des prégrossis sera comptée plusieurs fois.</t>
  </si>
  <si>
    <t>Lecture : 2 031 entreprises ont produit et vendu des huîtres creuses de taille marchande, pour un volume de 92 225 tonnes en vente finale et 41 726 en vente entre professionnels.</t>
  </si>
  <si>
    <t>Source : Agreste - Enquête aquaculture 2018</t>
  </si>
  <si>
    <t>Ventes entre professionnels et ventes pour la consommation en conchyliculture en 2018, par région du siège de l'entreprise, par espèce, hors écloserie / nurserie (naissain)</t>
  </si>
  <si>
    <t>Autres coquillages dont coque, palourde, ormeau</t>
  </si>
  <si>
    <t>Note : une entreprise qui produit plusieurs espèces sera comptée plusieurs fois.</t>
  </si>
  <si>
    <t>Toutes les ventes sont indiquées au siège social de l'entreprise même si l'entreprise a vendu des coquillages produits (par elle ou d'autres entreprises) dans d'autres régions.</t>
  </si>
  <si>
    <t>Lecture : 256 entreprises dont le siège est en région `Normandie - Mer du Nord` ont produit et vendu des huîtres de taille marchande, pour un volume de 10 579 tonnes en vente finale et 11 421 en vente entre professionnels.</t>
  </si>
  <si>
    <t>Répartition des ventes en conchyliculture par espèce, destination et mode d'élevage (hors naissain)</t>
  </si>
  <si>
    <t>Mode d'élevage</t>
  </si>
  <si>
    <t>Terrain découvrant : tables sur estran...</t>
  </si>
  <si>
    <t>consommateur</t>
  </si>
  <si>
    <t>professionnel</t>
  </si>
  <si>
    <t>Terrain découvrant : à plat</t>
  </si>
  <si>
    <t>Terrain non découvrant : eau semi-profonde ou profonde, à plat au sol ou en cage, tables...</t>
  </si>
  <si>
    <t>Elevage ou pousse en claires</t>
  </si>
  <si>
    <t>Table méditerranéenne</t>
  </si>
  <si>
    <t>Filière</t>
  </si>
  <si>
    <t>Autres techniques</t>
  </si>
  <si>
    <t>Table méditerranéenne, filière et autres techniques</t>
  </si>
  <si>
    <t>Technique non définie</t>
  </si>
  <si>
    <t>Pieux dont bouchots</t>
  </si>
  <si>
    <t>Terrain découvrant : autres...</t>
  </si>
  <si>
    <t>Terrain découvrant (autres), filière, pieux dont bouchots et autres techniques...</t>
  </si>
  <si>
    <t>Coque et autres coquillages dont ormeau</t>
  </si>
  <si>
    <t>Note : une entreprise qui produit plusieurs espèces ou utilisent plusieurs modes d'élevage sera comptée plusieurs fois.</t>
  </si>
  <si>
    <t>Production de naissains d'écloserie en 2018, par espèce</t>
  </si>
  <si>
    <t>Quantité vendue</t>
  </si>
  <si>
    <t>Prix au mille</t>
  </si>
  <si>
    <t>millions</t>
  </si>
  <si>
    <t>€ / mille</t>
  </si>
  <si>
    <t>Autres coquillages : palourde, huître plate, coquille saint jacques</t>
  </si>
  <si>
    <t>Production de naissains de captage en 2018, par espèce</t>
  </si>
  <si>
    <t>Volume capté et utilisé par l'entreprise</t>
  </si>
  <si>
    <t>Volume capté et vendu</t>
  </si>
  <si>
    <t>tonnes</t>
  </si>
  <si>
    <t xml:space="preserve">Note : coefficients utilisés : </t>
  </si>
  <si>
    <t>- huîtres : 1 million de naissains = 0.25 tonnes</t>
  </si>
  <si>
    <t>- moules : 1 km de cordes de naissains = 0.15 tonnes</t>
  </si>
  <si>
    <t>Répartition des volumes de coquillages vendus à la consommation selon l'origine des produits</t>
  </si>
  <si>
    <t>En tonne</t>
  </si>
  <si>
    <t>Origine du naissain</t>
  </si>
  <si>
    <t>Gisement naturel</t>
  </si>
  <si>
    <t>Captage</t>
  </si>
  <si>
    <t>Ecloserie diploïde</t>
  </si>
  <si>
    <t>Ecloserie triploïde</t>
  </si>
  <si>
    <t>Origine inconnue</t>
  </si>
  <si>
    <t>Répartition des volumes d'huîtres creuses vendues à la consommation selon l'origine du naissain</t>
  </si>
  <si>
    <t>pourcentage</t>
  </si>
  <si>
    <t>Ensemble Normandie - Mer du Nord</t>
  </si>
  <si>
    <t>Ensemble Bretagne Nord</t>
  </si>
  <si>
    <t>Ensemble Bretagne Sud</t>
  </si>
  <si>
    <t>Ensemble Pays de la Loire</t>
  </si>
  <si>
    <t>Ensemble Charente-Maritime</t>
  </si>
  <si>
    <t>Ensemble Arcachon Aquitaine</t>
  </si>
  <si>
    <t>Ensemble Méditerranée</t>
  </si>
  <si>
    <t>Répartition des ventes selon la destination</t>
  </si>
  <si>
    <t>En millier d'€</t>
  </si>
  <si>
    <t>Autres coquillages (coque, palourde...)</t>
  </si>
  <si>
    <t>Vente entre conchyliculteurs pour grossissement ou finition</t>
  </si>
  <si>
    <t>Vente à la consommation</t>
  </si>
  <si>
    <t>Vente directe dont dégustation</t>
  </si>
  <si>
    <t>Restaurateur, traiteur, poissonnier, écailler</t>
  </si>
  <si>
    <t>Mareyeur, grossiste, revendeur, courtier</t>
  </si>
  <si>
    <t>GMS</t>
  </si>
  <si>
    <t>Export</t>
  </si>
  <si>
    <t>Autres</t>
  </si>
  <si>
    <t>Total</t>
  </si>
  <si>
    <t>Ventes à la consommation d'huîtres affinées en claires</t>
  </si>
  <si>
    <t>Répartition des entreprises suivant la part de leurs ventes d'huitres qui sont affinées, en volume</t>
  </si>
  <si>
    <t>A - Pas d'affinage en claires</t>
  </si>
  <si>
    <t>B - 0 à 25% d'affinage en claires</t>
  </si>
  <si>
    <t>C - 25 à 50% d'affinage en claires</t>
  </si>
  <si>
    <t>D - 50 à 75% d'affinage en claires</t>
  </si>
  <si>
    <t>E - 75 à 100% d'affinage en claires</t>
  </si>
  <si>
    <t>Lecture : parmi les entreprises dont le siège est en région Arcachon Aquitaine, 213 ne pratiquent pas d'affinage en claires, 8 entreprises pratiquent de l'affinage et la vente des huîtres affinées en claires représentent entre 0 et 50% des ventes totales d'huîtres en volume.</t>
  </si>
  <si>
    <t>Ventes sous marque déposée ou signe officiel de qualité</t>
  </si>
  <si>
    <t>Marque ou signe de qualité</t>
  </si>
  <si>
    <t>Part des huîtres sous marque ou signe de qualité</t>
  </si>
  <si>
    <t>Part des moules sous marque ou signe de qualité</t>
  </si>
  <si>
    <t>Autres coquillages (coques, palourdes, ormeaux...)</t>
  </si>
  <si>
    <t>Part des autres coquillages sous marque ou signe de qualité</t>
  </si>
  <si>
    <t>Marque collective du CRC</t>
  </si>
  <si>
    <t>IGP (Huîtres Marennes Oléron) ou AOP (Moules de bouchot de la Baie du Mont Saint-Michel</t>
  </si>
  <si>
    <t>STG Moules de bouchot</t>
  </si>
  <si>
    <t>Label Rouge (LA/25/89, LA/22/98, LA/03/16 ou LA/06/14)</t>
  </si>
  <si>
    <t>Agriculture Biologique</t>
  </si>
  <si>
    <t>Filière d’enseigne de la grande distribution et/ou IFS et/ou BRC</t>
  </si>
  <si>
    <t>Autres, dont marque individuelle déposée</t>
  </si>
  <si>
    <t>Note : un coquillage peut être vendu sous plusieurs marques déposées ou signes de qualité.</t>
  </si>
  <si>
    <t>Abréviations :</t>
  </si>
  <si>
    <t>- CRC : Comité Régional de la Conchyliculture</t>
  </si>
  <si>
    <t>- AOP : Appellation d'origine protégée</t>
  </si>
  <si>
    <t>- STG : Spécialité traditionnelle garantie</t>
  </si>
  <si>
    <t>- IFS : International Featured Standard (référentiel d'audit qui certifie les fournisseurs d'aliments des marques de distributeurs)</t>
  </si>
  <si>
    <t>- BRC : British Retail Consortium Food (référentiel britannique destiné aux fournisseurs de produits alimentaires vendus sous marques propres ou sous marques de distributeurs)</t>
  </si>
  <si>
    <t>Détails des labels rouges :</t>
  </si>
  <si>
    <t>- LA/25/89 : Fines de claires</t>
  </si>
  <si>
    <t>- LA/22/98 : Pousses en claires</t>
  </si>
  <si>
    <t>- LA/03/16 : Moules</t>
  </si>
  <si>
    <t>- LA/06/14 : Moules de filières élevées en pleine mer</t>
  </si>
  <si>
    <t>Lecture : 20 924.1 tonnes d'huîtres ont été vendues sous une marque collective de CRC. Cela représente 23% des huîtres vendues en France.</t>
  </si>
  <si>
    <t>Ventes d'huîtres sous marque déposée ou signe officiel de qualité, par région</t>
  </si>
  <si>
    <t xml:space="preserve">IGP (Huîtres Marennes Oléron) </t>
  </si>
  <si>
    <t>Label Rouge (LA/25/89 ou LA/22/98)</t>
  </si>
  <si>
    <t>Lecture : les entreprises dont le siège est en région Normandie - Mer du Nord ont vendu 2 272.92 tonnes d'huîtres sous la marque collective du CRC.</t>
  </si>
  <si>
    <t>Ventes de moules sous marque déposée ou signe officiel de qualité, par région</t>
  </si>
  <si>
    <t>AOP (Moules de Bouchot de la Baie du Mont Saint-Michel)</t>
  </si>
  <si>
    <t>Label Rouge (LA/03/16 ou LA/06/14)</t>
  </si>
  <si>
    <t>Lecture : les entreprises dont le siège est en région Normandie - Mer du Nord ont vendu 632.3 tonnes de moules sous la marque collective du CRC.</t>
  </si>
  <si>
    <t>Ventes des entreprises conchylicoles par région du siège et par région de production (hors naissain)</t>
  </si>
  <si>
    <t>Siège de l'entreprise : Normandie - Mer du Nord</t>
  </si>
  <si>
    <t>Siège de l'entreprise : Bretagne Nord</t>
  </si>
  <si>
    <t>Siège de l'entreprise : Bretagne Sud</t>
  </si>
  <si>
    <t>Siège de l'entreprise : Pays de la Loire</t>
  </si>
  <si>
    <t>Siège de l'entreprise : Charente-Maritime</t>
  </si>
  <si>
    <t>Siège de l'entreprise : Arcachon Aquitaine</t>
  </si>
  <si>
    <t>Siège de l'entreprise : Méditerranée</t>
  </si>
  <si>
    <t>Lecture : les entreprises dont le siège est en région Normandie - Mer du Nord ont produit et vendu aux consommateurs 10 579 tonnes d'huître, dont 10 149 ont été élevées en Normandie - Mer du Nord, 294 en Bretagne Nord, 102 en Charente-Maritime, et le reste  en Bretagne Sud, Pays de la Loire, Arcachon-Aquitaine.</t>
  </si>
  <si>
    <t>Vente de coquillages selon la localisation de la production, hors écloserie/nurserie</t>
  </si>
  <si>
    <t>Région de production</t>
  </si>
  <si>
    <t>Zone de production</t>
  </si>
  <si>
    <t>Huîtres - adulte - ventes aux consommateurs et aux professionnels</t>
  </si>
  <si>
    <t>Baie de Somme + Nord - Pas de Calais + Asnelles-Meuvaines</t>
  </si>
  <si>
    <t>Côte d'Albatre</t>
  </si>
  <si>
    <t>Baie des Veys : Utah-beach</t>
  </si>
  <si>
    <t>Grandcamp-Isigny</t>
  </si>
  <si>
    <t>Côte Est</t>
  </si>
  <si>
    <t>Portbail-Pirou</t>
  </si>
  <si>
    <t>Gouville-Agon</t>
  </si>
  <si>
    <t>Sud-Sienne</t>
  </si>
  <si>
    <t>Zones non définies</t>
  </si>
  <si>
    <t>Baie de Cancale et du Mont Saint-Michel</t>
  </si>
  <si>
    <t>Baie de Saint-Brieuc + Fresnaye-Arguenon</t>
  </si>
  <si>
    <t>Paimpol Trieux</t>
  </si>
  <si>
    <t>Tréguier Jaudy</t>
  </si>
  <si>
    <t>Morlaix - Penze</t>
  </si>
  <si>
    <t>Pays des abers</t>
  </si>
  <si>
    <t>Rade de Brest</t>
  </si>
  <si>
    <t>Presqu'île de Crozon</t>
  </si>
  <si>
    <t>Fisnitère Sud</t>
  </si>
  <si>
    <t>Ria d'Etel</t>
  </si>
  <si>
    <t>Baie de Plouharnel</t>
  </si>
  <si>
    <t>Rivières de Crach et de Saint-Philibert</t>
  </si>
  <si>
    <t>Golfe du Morbihan et rivière d'Auray</t>
  </si>
  <si>
    <t>Baie de Quiberon</t>
  </si>
  <si>
    <t>Rivière de Pénef</t>
  </si>
  <si>
    <t>Pénestin</t>
  </si>
  <si>
    <t>Traict de Pen Bé</t>
  </si>
  <si>
    <t>Traict du Croisic</t>
  </si>
  <si>
    <t>Secteur de la Plaine-sur-mer</t>
  </si>
  <si>
    <t>Baie de Bourgneuf</t>
  </si>
  <si>
    <t>Île de Noirmoutier</t>
  </si>
  <si>
    <t>Estuaire du Payre</t>
  </si>
  <si>
    <t>Estuaire du Lay</t>
  </si>
  <si>
    <t>Pertuis Breton</t>
  </si>
  <si>
    <t>Île de Ré</t>
  </si>
  <si>
    <t>Pertuis d'Antioche</t>
  </si>
  <si>
    <t>Marennes-Oléron</t>
  </si>
  <si>
    <t>Pointe du Médoc</t>
  </si>
  <si>
    <t>Bassin d'Arcachon + Lac d'Hossegor</t>
  </si>
  <si>
    <t>Leucate + Gruissan</t>
  </si>
  <si>
    <t>Lagune de Thau et façades maritimes de Sète Marseillan et des Aresquiers</t>
  </si>
  <si>
    <t>Anse de Carteau</t>
  </si>
  <si>
    <t>Baie du Lazaret + Corse</t>
  </si>
  <si>
    <t>Huîtres - en prégrossissement ou demi-élevage</t>
  </si>
  <si>
    <t>Asnelles-Meuvaines</t>
  </si>
  <si>
    <t>Baie de Saint-Brieuc + Fresnaye-Arguenon + Baie de Cancale et du mont Saint Michel</t>
  </si>
  <si>
    <t>Rade de Brest + Pays des Abers</t>
  </si>
  <si>
    <t>Finistère Sud + Ria d'Etel</t>
  </si>
  <si>
    <t>Golfe du Morbihan + rivières d'Auray, de Pénef, de Crach et de Saint Philibert + Traict de Pen Bé</t>
  </si>
  <si>
    <t>Pertuis d'Antioche + Pertuis Breton + zones non définies</t>
  </si>
  <si>
    <t>Bassin d'Arcachon</t>
  </si>
  <si>
    <t>Moules - adulte - ventes aux consommateurs et aux professionnels</t>
  </si>
  <si>
    <t>Nord Pas de Calais</t>
  </si>
  <si>
    <t>Baie de Somme</t>
  </si>
  <si>
    <t>Baie des Veys : Utah-beach + Grandcamp-Isigny</t>
  </si>
  <si>
    <t>Fresnaye-Arguenon</t>
  </si>
  <si>
    <t>Baie de Saint-brieuc</t>
  </si>
  <si>
    <t>Morlaix-Penze + Tréguier-Jaudy + Paimpol-Trieux</t>
  </si>
  <si>
    <t>Baie de Plouharnel + Rivières de Crach et de Saint Philibert</t>
  </si>
  <si>
    <t>Pénestin + Traict de Pen Bé</t>
  </si>
  <si>
    <t>Baie de Pont-Mahé</t>
  </si>
  <si>
    <t>Secteur de la Plaine sur mer + Baie de Bourgneuf</t>
  </si>
  <si>
    <t>Île de Ré + Pertuis d'Antioche</t>
  </si>
  <si>
    <t>Fleury Vendres</t>
  </si>
  <si>
    <t>Anse de Carteau + Baie du Lazaret + Corse</t>
  </si>
  <si>
    <t>Moules - en prégrossissement ou demi-élevage</t>
  </si>
  <si>
    <t>Île de Noirmoutier + Estuaire du Lay</t>
  </si>
  <si>
    <t>Anse de Carteau + lagune de Thau et façade de Sète-Marsillan et des Aresquiers</t>
  </si>
  <si>
    <t>Palourde, coque, ormeau et autres coquillages</t>
  </si>
  <si>
    <t>Morlaix-Penze + Tréguier-Jaudy + Paimpol-Trieux + Baie de Saint-Brieuc + Fresnaye-Arguenon + zones non définies</t>
  </si>
  <si>
    <t>Rade de Brest + Pays des abers</t>
  </si>
  <si>
    <t>Île de Noirmoutier + zones non définies</t>
  </si>
  <si>
    <t>Leucate + zones non définies</t>
  </si>
  <si>
    <t>Dans le questionnaire les entreprises répartissent leurs ventes selon la zone d'élevage et le stade de vente.</t>
  </si>
  <si>
    <t>Toutes les ventes de l'entreprise sont réparties que ce soient des ventes à la consommation ou des ventes entre professionnels.</t>
  </si>
  <si>
    <t xml:space="preserve">Ex : un producteur déclare des 16 tonnes d'huîtres creuses entre professionnels et 64 tonnes à la consommation. Il répartit sa production selon les zones d'élevage : en grossissement/finition il a produit 60% à "Morlaix - Penze" et 40% dans le "Golfe du Morbihan". Dans le tableau l'ensemble de ses ventes sont comptées soit 64 + 16 = 80 tonnes. Ses ventes sont réparties en 60%*80 = 48 tonnes sont "sorties" de "Morlaix - Penze" et 60%*80=32 tonnes sont "sorties" de  "Golfe du Morbihan". </t>
  </si>
  <si>
    <t>Lecture : 7 entreprises ont vendu 252.6 tonnes d'huîtres à d'autres professionnels ou à la consommation issues de leur production en Côte d'Albâtre.</t>
  </si>
  <si>
    <t>Pertes estimées liées à la mortalité ou la prédation</t>
  </si>
  <si>
    <t>Salmonidés chair</t>
  </si>
  <si>
    <t>Truite arc-en-ciel</t>
  </si>
  <si>
    <t>Truite fario</t>
  </si>
  <si>
    <t>Saumon de fontaine</t>
  </si>
  <si>
    <t>Autres salmonidés (hybride, ombre, omble chevalier...)</t>
  </si>
  <si>
    <t>Truite - oeufs pour la consommation</t>
  </si>
  <si>
    <t>Autres poissons d'eau douce hors étang, dont esturgeons et perches</t>
  </si>
  <si>
    <t>Carpe (Cyprinus carpio)</t>
  </si>
  <si>
    <t>Gardon - rotengle</t>
  </si>
  <si>
    <t>Tanche</t>
  </si>
  <si>
    <t>Brochet</t>
  </si>
  <si>
    <t>Sandre</t>
  </si>
  <si>
    <t>Carpe koï</t>
  </si>
  <si>
    <t>Perche</t>
  </si>
  <si>
    <t>Carpe amour</t>
  </si>
  <si>
    <t>Black-bass</t>
  </si>
  <si>
    <t>Autres poissons d'étang</t>
  </si>
  <si>
    <t>Bar (loup)</t>
  </si>
  <si>
    <t>Daurade royale</t>
  </si>
  <si>
    <t>Maigre</t>
  </si>
  <si>
    <t>Truite de mer arc-en-ciel</t>
  </si>
  <si>
    <t>Autres poissons marins (saumon de l'Atlantique, sole, turbot...)</t>
  </si>
  <si>
    <t>Lecture : 310 entreprises ont élevé et vendu des truites arc-en-ciel de taille marchande à des consommateurs, pour un volume de 33 150 tonnes et un montant de 118 897 000 euros.</t>
  </si>
  <si>
    <t>Source : Agreste - Recensement de la pisciculture 2018</t>
  </si>
  <si>
    <t>Production en pisciculture en 2018, par région du siège de l'entreprise et par espèce, hors écloserie / nurserie</t>
  </si>
  <si>
    <t>Région</t>
  </si>
  <si>
    <t>Poissons d'eau douce</t>
  </si>
  <si>
    <t>Entre pisciculteurs</t>
  </si>
  <si>
    <t>Poissons d'étang</t>
  </si>
  <si>
    <t>Hauts-de-France + Île-de-France + Bretagne + Normandie + Pays de la Loire</t>
  </si>
  <si>
    <t>Occitanie + Provence-Alpes-Côte d'Azur + Corse</t>
  </si>
  <si>
    <t>Grand Est + Centre-Val de Loire</t>
  </si>
  <si>
    <t>Nouvelle-Aquitaine + Occitanie + Provence-Alpes-Côte d'Azur + Corse</t>
  </si>
  <si>
    <t>Tous poissons marins</t>
  </si>
  <si>
    <t>Hauts-de-France + Normandie</t>
  </si>
  <si>
    <t>Nouvelle-Aquitaine + Pays de la Loire</t>
  </si>
  <si>
    <t>Provence-Alpes-Côte d'Azur + Occitanie</t>
  </si>
  <si>
    <t>Oeufs de poissons pour la consommation</t>
  </si>
  <si>
    <t>Caviar d'esturgeons</t>
  </si>
  <si>
    <t>Nouvelle-Aquitaine + Centre-Val de Loire</t>
  </si>
  <si>
    <t>Oeufs de truite</t>
  </si>
  <si>
    <t>Toute la production d'une entreprise est localisée à la région de son siège, même si une partie de la production est réalisée dans un site localisé dans une autre région</t>
  </si>
  <si>
    <t>Lecture : en Auvergne-Rhône-Alpes, 40 entreprises ont élevé et vendu des truites arc-en-ciel de taille marchande à des consommateurs, pour un volume de 3 266 tonnes et un montant de 17 367 000 euros.</t>
  </si>
  <si>
    <t>6 entreprises ont élevé et vendu 729 tonnes de truite arc-en-ciel à d'autres pisciculteurs français</t>
  </si>
  <si>
    <t>Production des écloseries / nurseries en pisciculture en 2018, par espèce</t>
  </si>
  <si>
    <t>million ou tonne pour les oeufs non embryonnés</t>
  </si>
  <si>
    <t>€ / mille ou € / kg pour les oeufs non embryonnés</t>
  </si>
  <si>
    <t>Juvéniles</t>
  </si>
  <si>
    <t>Oeufs embryonnés</t>
  </si>
  <si>
    <t>Poissons d'eau douce hors salmonidés</t>
  </si>
  <si>
    <t>Vésicules resorbées</t>
  </si>
  <si>
    <t>Alevins</t>
  </si>
  <si>
    <t>Tous</t>
  </si>
  <si>
    <t>Lecture : 55 entreprises ont produit 22 millions de salmonidés juvéniles, 254 millions d'oeufs embryonnés et 8.7 tonnes d'oeufs non embryonnés</t>
  </si>
  <si>
    <t>Chiffre d'affaires de la pisciculture par région (toutes espèces et toutes destinations)</t>
  </si>
  <si>
    <t>Note : le chiffre d'affaires correspond à toutes les ventes des piscicultures, en vente finale et en vente entre professionnels, à tout stade d'élevage y compris les ventes des écloseries</t>
  </si>
  <si>
    <t>Toutes les ventes sont localisées dans la région du siège de l'entreprises, même si l'entreprise réalise des ventes dans des établissements localisés dans différentes régions.</t>
  </si>
  <si>
    <t>Evénements exceptionnels en pisciculture en 2018</t>
  </si>
  <si>
    <t>Type d'évènement exceptionnel</t>
  </si>
  <si>
    <t>Elevage de salmonidés</t>
  </si>
  <si>
    <t>Elevage d'esturgeons et autres poissons d'eau douce hors étangs</t>
  </si>
  <si>
    <t>Pas d'événement exceptionnel</t>
  </si>
  <si>
    <t>Climat : sécheresse, inondation, tempêtes, température de l'eau</t>
  </si>
  <si>
    <t>Problème technique d'élevage</t>
  </si>
  <si>
    <t>Pollution</t>
  </si>
  <si>
    <t>Lancement ou redéploiement de l'activité</t>
  </si>
  <si>
    <t>Note : les entreprises qui ont une activité piscicole en 2018 sont réparties selon leur activité principale</t>
  </si>
  <si>
    <t>L'activité piscicole principale d'une entreprise est celle qui a généré le chiffre d'affaires le plus élevé en 2018.</t>
  </si>
  <si>
    <t>Répartition des volumes vendus en pisciculture en eau douce en 2018, par destination</t>
  </si>
  <si>
    <t>en tonne</t>
  </si>
  <si>
    <t>Salmonidés (chair)</t>
  </si>
  <si>
    <t>Autres poissons d'eau douce dont esturgeons (chair)</t>
  </si>
  <si>
    <t>Vente directe à un particulier</t>
  </si>
  <si>
    <t>Vente à un parcours de pêche ou un étang de loisir</t>
  </si>
  <si>
    <t>Vente à un atelier de transformation</t>
  </si>
  <si>
    <t>Repeuplement d'eaux libres</t>
  </si>
  <si>
    <t>Grandes et Moyennes Surfaces (GMS) en direct</t>
  </si>
  <si>
    <t>Restaurateur, traiteur, poissonnier</t>
  </si>
  <si>
    <t>Grossistes ou revendeurs (y compris centrale d'achat des GMS)</t>
  </si>
  <si>
    <t>Autre dont coopérative</t>
  </si>
  <si>
    <t>Ventes à un autre pisciculteur</t>
  </si>
  <si>
    <t>Toute destination</t>
  </si>
  <si>
    <t>Répartition des volumes vendus en pisciculture marine en 2018, par destination</t>
  </si>
  <si>
    <t>Répartition des volumes vendus d'oeufs pour la consommation en 2018, par destination</t>
  </si>
  <si>
    <t>Oeufs de truite pour la consommation</t>
  </si>
  <si>
    <t>Grandes et moyennes surfaces (GMS) en direct, grossistes ou revendeurs</t>
  </si>
  <si>
    <t>Autres dont export</t>
  </si>
  <si>
    <t>Répartition du chiffre d'affaire à l'export</t>
  </si>
  <si>
    <t>Entreprises pratiquant l'export</t>
  </si>
  <si>
    <t>Part de l'export dans le CA</t>
  </si>
  <si>
    <t>Salmonidés + esturgeons + perches en circuit fermé</t>
  </si>
  <si>
    <t>Caviar et oeufs de truite pour la consommation</t>
  </si>
  <si>
    <t xml:space="preserve"> Répartition des volumes vendus par calibre</t>
  </si>
  <si>
    <t>en tonnes</t>
  </si>
  <si>
    <t>Calibre 1</t>
  </si>
  <si>
    <t>Calibre 2</t>
  </si>
  <si>
    <t>Calibre 3</t>
  </si>
  <si>
    <t>Calibre 4</t>
  </si>
  <si>
    <t>Calibre 5</t>
  </si>
  <si>
    <t>Calibre 6</t>
  </si>
  <si>
    <t>200 à 300 g</t>
  </si>
  <si>
    <t>300 à 400 g</t>
  </si>
  <si>
    <t>400 à 600 g</t>
  </si>
  <si>
    <t>600 à 800 g</t>
  </si>
  <si>
    <t>800 g à 1 kg</t>
  </si>
  <si>
    <t>plus de 1 kg</t>
  </si>
  <si>
    <t>Truite portion (- de 500 g)</t>
  </si>
  <si>
    <t>Petit filet (500 g à 1 kg)</t>
  </si>
  <si>
    <t>Grande truite (1 kg à 2 kg)</t>
  </si>
  <si>
    <t>Très grande truite (+ de 2 kg)</t>
  </si>
  <si>
    <t>Autres salmonidés</t>
  </si>
  <si>
    <t>Carpes</t>
  </si>
  <si>
    <t>1 été</t>
  </si>
  <si>
    <t>2 étés</t>
  </si>
  <si>
    <t>+ de 2 étés</t>
  </si>
  <si>
    <t>Carpe cyprinus carpio</t>
  </si>
  <si>
    <t>Carpe Koï</t>
  </si>
  <si>
    <t>Carpe Amour</t>
  </si>
  <si>
    <t>Note : La répartition de la production par espèce et par calibre n'a été demandée que pour les espèces du tableau présenté ici.</t>
  </si>
  <si>
    <t>Répartition du chiffre d'affaires de la pisciculture selon le degré de transformation</t>
  </si>
  <si>
    <t>Frais entier ou vivant</t>
  </si>
  <si>
    <t>Eviscérés</t>
  </si>
  <si>
    <t>Filetés ou découpés</t>
  </si>
  <si>
    <t>Fumés</t>
  </si>
  <si>
    <t>Congelés, surgelés</t>
  </si>
  <si>
    <t>Conserves</t>
  </si>
  <si>
    <t>Autres poissons marins</t>
  </si>
  <si>
    <t>Esturgeons + perches en circuit fermé</t>
  </si>
  <si>
    <t>Tous poissons d'étang</t>
  </si>
  <si>
    <t>Répartition des volumes vendus selon l'utilisation de lignée sélectionnée</t>
  </si>
  <si>
    <t>En tonnes</t>
  </si>
  <si>
    <t>Lignées sélectionnées de l'entreprise</t>
  </si>
  <si>
    <t>Lignées sélectionnées françaises</t>
  </si>
  <si>
    <t>Autre lignée sélectionnée</t>
  </si>
  <si>
    <t>Pas de lignée sélectionnée</t>
  </si>
  <si>
    <t>Alimentation en pisciculture et indice de conversion</t>
  </si>
  <si>
    <t>`Non disponible` quand il n'y a pas assez d'entreprises pour calculer la médiane.</t>
  </si>
  <si>
    <t xml:space="preserve">Répartition des entreprises piscicoles selon leur statut </t>
  </si>
  <si>
    <t>Statut de l'entreprise</t>
  </si>
  <si>
    <t>Personne physique en exploitation individuelle (dont EIRL, micro-entreprise) ou co-exploitation, en groupement de fait</t>
  </si>
  <si>
    <t>GAEC</t>
  </si>
  <si>
    <t>EARL</t>
  </si>
  <si>
    <t>Société civile (SCEA, GFA), autres (GIE, SCA... ), coopérative</t>
  </si>
  <si>
    <t>Société commerciale (SARL, SA, SAS, EURL... )</t>
  </si>
  <si>
    <t>Non commerciale (lycée professionnel, centre de recherche, association à but non lucratif...)</t>
  </si>
  <si>
    <t>Répartition des entreprises piscicoles selon le nombre de sites exploités</t>
  </si>
  <si>
    <t>Activité piscicole générant le plus de chiffre d'affaires en 2018</t>
  </si>
  <si>
    <t>Un seul site</t>
  </si>
  <si>
    <t>Deux sites</t>
  </si>
  <si>
    <t>Plus de deux sites</t>
  </si>
  <si>
    <t>Entreprises piscicoles selon l'activité principale déclarée de l'entreprise</t>
  </si>
  <si>
    <t>Activité principale déclarée de l'entreprise</t>
  </si>
  <si>
    <t>Agriculture</t>
  </si>
  <si>
    <t xml:space="preserve">Activités récréatives </t>
  </si>
  <si>
    <t>Pêche</t>
  </si>
  <si>
    <t>Autre</t>
  </si>
  <si>
    <t>Entreprises piscicoles selon leur activité secondaire déclarée</t>
  </si>
  <si>
    <t>Activité récréative</t>
  </si>
  <si>
    <t>Autre activité secondaire</t>
  </si>
  <si>
    <t>Lecture : Parmi les entreprises dont l'activité pisicole générant le plus de chiffre d'affaires est l'élevage de salmonidés, il y a 1 entreprise qui a déclaré comme activité secondaire la pêche et 3 des activités récréatives.</t>
  </si>
  <si>
    <t xml:space="preserve">Répartition des entreprises piscicoles selon leur comptabilité </t>
  </si>
  <si>
    <t>Compte d'exploitation et bilan comptable</t>
  </si>
  <si>
    <t>Enregistrement des seules recettes et dépenses</t>
  </si>
  <si>
    <t>Ni l'un, ni l'autre</t>
  </si>
  <si>
    <t>Pas de réponse</t>
  </si>
  <si>
    <t>Répartition des entreprises piscicoles selon l'utilisation de prestations</t>
  </si>
  <si>
    <t>Répartition des entreprises piscicoles selon les assurances souscrites</t>
  </si>
  <si>
    <t>Part des entreprises piscicoles ayant introduit des innovations entre 2016 et 2018</t>
  </si>
  <si>
    <t>Part des entreprises en %</t>
  </si>
  <si>
    <t>Type d'innovation</t>
  </si>
  <si>
    <t>Nouvelle espèce ou nouvelle présentation / transformation des poissons vendus</t>
  </si>
  <si>
    <t>Abandonnée ou suspendue</t>
  </si>
  <si>
    <t>Pour l'entreprise, mais pas pour le marché français</t>
  </si>
  <si>
    <t>Pour l'entreprise et pour le marché français</t>
  </si>
  <si>
    <t>Autres innovations</t>
  </si>
  <si>
    <t>Pratiques d'élevage</t>
  </si>
  <si>
    <t>Pratiques de logistique et de stockage</t>
  </si>
  <si>
    <t>Pratiques de soutien ou support à l'activité</t>
  </si>
  <si>
    <t>Plusieurs types d'innovation possibles pour une même entreprise qui est alors comptée dans plusieurs lignes.</t>
  </si>
  <si>
    <t>Lecture : 18 % des entreprise dont l'activité principale est l'élevage de salmonidés ont introduit des innovations sur leurs pratiques de culture entre 2016 et 2018.</t>
  </si>
  <si>
    <t>Pratique d'aquaponie ou d'aquaculture multitrophique intégrée</t>
  </si>
  <si>
    <t>Pratique d'aquaponie</t>
  </si>
  <si>
    <t>Pratique d'aquaponie en développement</t>
  </si>
  <si>
    <t>Pratique de l'aquaculture multitrophique intégrée</t>
  </si>
  <si>
    <t>Pratique de l'aquaculture multitrophique intégrée en développement</t>
  </si>
  <si>
    <t>Gestion des rejets : équipements à l'entrée des sites</t>
  </si>
  <si>
    <t>en nombre de sites</t>
  </si>
  <si>
    <t>Equipement à l'entrée des sites</t>
  </si>
  <si>
    <t>Filtre mécanique ou dégrilleur</t>
  </si>
  <si>
    <t>Filtre à sable</t>
  </si>
  <si>
    <t>Filtre biologique</t>
  </si>
  <si>
    <t>Ozone</t>
  </si>
  <si>
    <t>UV</t>
  </si>
  <si>
    <t>Colonne de dégazage</t>
  </si>
  <si>
    <t>Système pour retirer le fer</t>
  </si>
  <si>
    <t>Autre équipement</t>
  </si>
  <si>
    <t>Aucun équipement</t>
  </si>
  <si>
    <t>Nombre de sites</t>
  </si>
  <si>
    <t>Un site peut avoir plusieurs types d'équipement à son entrée.</t>
  </si>
  <si>
    <t>Lecture : 203 sites d'entreprise dont l'activité piscicole principale est la pisciculture en eau douce sont équipés de filtre mécanique ou dégrilleur.</t>
  </si>
  <si>
    <t>Gestion des rejets : équipements de traitement des rejets</t>
  </si>
  <si>
    <t>Bassin de décantation</t>
  </si>
  <si>
    <t>Filtre ou tamis rotatif</t>
  </si>
  <si>
    <t>Lagunage</t>
  </si>
  <si>
    <t>Un site peut avoir plusieurs types d'équipement de traitement des rejets.</t>
  </si>
  <si>
    <t>Lecture : des bassin de décantation sont installés sur 135 sites d'entreprise dont l'activité piscicole principale est la pisciculture en eau douce.</t>
  </si>
  <si>
    <t>Gestion des rejets : devenir des boues recueillies</t>
  </si>
  <si>
    <t>Compostage</t>
  </si>
  <si>
    <t>Epandage direct</t>
  </si>
  <si>
    <t>Autre utilisation</t>
  </si>
  <si>
    <t>Utilisation de système recirculé</t>
  </si>
  <si>
    <t>Installation en circuit fermé sur tous les bassins du site</t>
  </si>
  <si>
    <t>Installation en circuit fermé sur une partie des bassins du site</t>
  </si>
  <si>
    <t>Pas d'nstallation en circuit fermé sur le site</t>
  </si>
  <si>
    <t>Lecture : 10 sites d'entreprise dont l'activité piscicole principale est l'élevage de salmonidés sont en circuit fermé pour tous les bassins du site.</t>
  </si>
  <si>
    <t>Protection face à la prédation aviaire</t>
  </si>
  <si>
    <t>Fils</t>
  </si>
  <si>
    <t>Filet</t>
  </si>
  <si>
    <t>Sonore</t>
  </si>
  <si>
    <t>Cage</t>
  </si>
  <si>
    <t>Aucun</t>
  </si>
  <si>
    <t>Nombre total de sites</t>
  </si>
  <si>
    <t>Un site peut avoir plusieurs équipements pour luttre contre la prédation.</t>
  </si>
  <si>
    <t>Lecture : des fils de protection face à la prédation sont utilisés sur 77 sites d'entreprises dont l'activité piscicole principale est l'élevage de salmonidés.</t>
  </si>
  <si>
    <t>Distribution des aliments</t>
  </si>
  <si>
    <t>À la main</t>
  </si>
  <si>
    <t>Nourisseur programmé</t>
  </si>
  <si>
    <t>Pas de distribution d'aliments sur le site</t>
  </si>
  <si>
    <t>Lecture : la distribution d'aliment est réalisée à la main sur 290 sites d'entreprises dont l'activité piscicole principale est l'élevage de salmonidés.</t>
  </si>
  <si>
    <t>Equipements d'oxygénation</t>
  </si>
  <si>
    <t>Brassage mécanique de l'eau</t>
  </si>
  <si>
    <t>Appareil d'apport d'oxygène pur</t>
  </si>
  <si>
    <t>Dispositif de gestion des gaz dissous</t>
  </si>
  <si>
    <t>Oxymètre</t>
  </si>
  <si>
    <t>Autre équipement d'oxygénation</t>
  </si>
  <si>
    <t>Aucun équipement d'oxygénation</t>
  </si>
  <si>
    <t>Un site peut avoir plusieurs types d'équipement d'e traitement des rejet d'oxygénation.</t>
  </si>
  <si>
    <t>Lecture : un brassage mécanique de l'eau est installé sur 233 sites d'entreprise dont l'activité piscicole principale est l'élevage de salmonidés.</t>
  </si>
  <si>
    <t>Pratiques d'aération</t>
  </si>
  <si>
    <t>Site avec aération à déclenchement manuel</t>
  </si>
  <si>
    <t>Site avec aération à déclenchement automatique</t>
  </si>
  <si>
    <t>Site sans aération</t>
  </si>
  <si>
    <t>Lecture : l'aération à déclenchement manuel est installée sur 185 sites d'entreprise dont l'activité piscicole principale est l'élevage de salmonidés.</t>
  </si>
  <si>
    <t>Matériel de manipulation des poissons</t>
  </si>
  <si>
    <t>Equipement de manipulation des poissons</t>
  </si>
  <si>
    <t>Compteur à poissons automatique</t>
  </si>
  <si>
    <t>Peseur à poisson automatique</t>
  </si>
  <si>
    <t>Trieur de poissons automatique</t>
  </si>
  <si>
    <t>Trieur de poissons manuel</t>
  </si>
  <si>
    <t>Pompe à poissons</t>
  </si>
  <si>
    <t>Vis à poissons</t>
  </si>
  <si>
    <t>Elévateur</t>
  </si>
  <si>
    <t>Un site peut avoir avoir plusieurs équipements de manipulation des poissons.</t>
  </si>
  <si>
    <t>Lecture : un compteur automatique à poisson est installé sur 114 sites d'entreprise dont l'activité piscicole principale est l'élevage de salmonidés.</t>
  </si>
  <si>
    <t>Utilisation de passes à poissons</t>
  </si>
  <si>
    <t>Site équipé d'une passe à poissons</t>
  </si>
  <si>
    <t>Site non équipé d'une passe à poissons</t>
  </si>
  <si>
    <t>Lecture : une passe à poissons est installée sur 114 sites d'entreprise dont l'activité piscicole principale est l'élevage de salmonidés.</t>
  </si>
  <si>
    <t>Pratiques d'abattage</t>
  </si>
  <si>
    <t>Equipement ou technique d'abattage</t>
  </si>
  <si>
    <t>Equipement d'abattage</t>
  </si>
  <si>
    <t>Salle d'abattage</t>
  </si>
  <si>
    <t>Atelier de transformation</t>
  </si>
  <si>
    <t>Atelier de conditionnement</t>
  </si>
  <si>
    <t>Pratique d'abattage</t>
  </si>
  <si>
    <t>Electrocution</t>
  </si>
  <si>
    <t>Saignée</t>
  </si>
  <si>
    <t>Assommage ou percussion</t>
  </si>
  <si>
    <t>Choc thermique</t>
  </si>
  <si>
    <t>CO2</t>
  </si>
  <si>
    <t>Pas de technique d'abattage spécifique</t>
  </si>
  <si>
    <t>Lecture : une salle d'abattage est installée sur 49 sites d'entreprise dont l'activité piscicole principale est l'élevage de salmonidés.</t>
  </si>
  <si>
    <t>en nombre de navires</t>
  </si>
  <si>
    <t>Taille</t>
  </si>
  <si>
    <t>Puissance</t>
  </si>
  <si>
    <t>Année de mise en circulation</t>
  </si>
  <si>
    <t>Nombre de navires</t>
  </si>
  <si>
    <t>4 à 7m</t>
  </si>
  <si>
    <t>- de 20kW</t>
  </si>
  <si>
    <t>2000 - 2010</t>
  </si>
  <si>
    <t>2010 - 2020</t>
  </si>
  <si>
    <t>20 à 40kW</t>
  </si>
  <si>
    <t>1980 - 1990</t>
  </si>
  <si>
    <t>7 à 12m</t>
  </si>
  <si>
    <t>1970 - 1980</t>
  </si>
  <si>
    <t>1990 - 2000</t>
  </si>
  <si>
    <t>+ de 12m</t>
  </si>
  <si>
    <t>Pisciculture - Sites certifiés en Bio</t>
  </si>
  <si>
    <t>Sites certifiés Bio</t>
  </si>
  <si>
    <t>Sites en cours de certification Bio</t>
  </si>
  <si>
    <t>Lecture : 29 sites d'entreprise dont l'activité piscicole principale est l'élevage de salmonidés sont certifiés Bio.</t>
  </si>
  <si>
    <t>Pisciculture - Part de la production en démarche-qualité ou sous marque déposée</t>
  </si>
  <si>
    <t>Marque ou démarche qualité</t>
  </si>
  <si>
    <t>Esturgeons (chair)</t>
  </si>
  <si>
    <t>IGP, AOP ou AOC</t>
  </si>
  <si>
    <t>Label Rouge</t>
  </si>
  <si>
    <t>Charte Qualité - Aquaculture de nos régions</t>
  </si>
  <si>
    <t>Filière d'enseigne de la grande distribution et/ou IFS et/ou BRC</t>
  </si>
  <si>
    <t>Autre marque ou démarche qualité</t>
  </si>
  <si>
    <t>Note : un poisson peut être vendu sous plusieurs marques déposées ou signes de qualité.</t>
  </si>
  <si>
    <t>- AOC : Appellation d'origine contrôlée</t>
  </si>
  <si>
    <t>Lecture : 1 518 tonnes de salmonidés (chair) ont été vendues en Agriculture Biologique.</t>
  </si>
  <si>
    <t>Pisciculture - Démarche qualité système</t>
  </si>
  <si>
    <t>Démarche qualité système</t>
  </si>
  <si>
    <t>Certifié</t>
  </si>
  <si>
    <t>En cours de certification</t>
  </si>
  <si>
    <t>Non certifié</t>
  </si>
  <si>
    <t>ISO 9 000</t>
  </si>
  <si>
    <t>ISO 22 000</t>
  </si>
  <si>
    <t>ISO 14 000</t>
  </si>
  <si>
    <t>Autre démarche qualité système : AQUAREA, Agri Confiance, iso 26000, Global Gap</t>
  </si>
  <si>
    <t>Pisciculture - Utilisation de produits de traitement de l'eau, de vaccins et d'antibiotiques</t>
  </si>
  <si>
    <t>Type de produit</t>
  </si>
  <si>
    <t>Produit utilisé</t>
  </si>
  <si>
    <t>Utilisation pour tout le cheptel</t>
  </si>
  <si>
    <t>Utilisation pour une partie du cheptel</t>
  </si>
  <si>
    <t>Pas d'utilisation</t>
  </si>
  <si>
    <t>Elevage de salmonidés dont truites</t>
  </si>
  <si>
    <t>Produits de traitement</t>
  </si>
  <si>
    <t>Acide péracétique</t>
  </si>
  <si>
    <t>Ammonium quaternaire</t>
  </si>
  <si>
    <t>Bronopol</t>
  </si>
  <si>
    <t>Chloramine T</t>
  </si>
  <si>
    <t>Formaldéhyde</t>
  </si>
  <si>
    <t>Iodophore</t>
  </si>
  <si>
    <t>Péroxyde d'hydrogene</t>
  </si>
  <si>
    <t>Sulfate de cuivre</t>
  </si>
  <si>
    <t>Antibiotiques</t>
  </si>
  <si>
    <t>Acide oxolinique</t>
  </si>
  <si>
    <t>Florfénicol</t>
  </si>
  <si>
    <t>Fluméquine</t>
  </si>
  <si>
    <t>Oxytétracycline</t>
  </si>
  <si>
    <t>Sulfamides - Triméthoprine</t>
  </si>
  <si>
    <t>Vaccins</t>
  </si>
  <si>
    <t>Furonculose</t>
  </si>
  <si>
    <t>Vibriose</t>
  </si>
  <si>
    <t>Yersiniose</t>
  </si>
  <si>
    <t>Elevage d'esturgeons et autres poissons d'eau douce hors salmonidés et étangs</t>
  </si>
  <si>
    <t>Lecture : 12 entreprises dont l'activité principale est l'élevage de salmonidés utilisent de l'acide péracétique pour tout leur cheptel et 16 pour une partie du cheptel</t>
  </si>
  <si>
    <t>269 n'en utilisent pas et 27 n'ont pas répondu.</t>
  </si>
  <si>
    <t>Pisciculture - Autorisations et agréments des sites</t>
  </si>
  <si>
    <t>IOTA Déclaration</t>
  </si>
  <si>
    <t>ICPE Autorisation</t>
  </si>
  <si>
    <t>ICPE Déclaration</t>
  </si>
  <si>
    <t>Site bénéficiant d'une qualification indemne de maladie légalement contagieuse</t>
  </si>
  <si>
    <t>Site en cours de qualification indemne de maladie légalement contagieuse</t>
  </si>
  <si>
    <t>Agrément zoo-sanitaire</t>
  </si>
  <si>
    <t>Site non concerné</t>
  </si>
  <si>
    <t>Projet de transmission ou de cessation d'entreprises piscicoles dans les cinq prochaines années</t>
  </si>
  <si>
    <t>Projet de transmission</t>
  </si>
  <si>
    <t>Pas de transmission ou cessation d'entreprise prévue dans les 5 prochaines années</t>
  </si>
  <si>
    <t>Possibilité de transmission ou cessation d'entreprise dans les 5 prochaines années</t>
  </si>
  <si>
    <t>Transmission ou cessation d'entreprise prévue dans les 5 prochaines années</t>
  </si>
  <si>
    <t>Sans réponse</t>
  </si>
  <si>
    <t>Production en culture d'algues et de cyanobactéries, en 2018, hors production de semence</t>
  </si>
  <si>
    <t>Macro-algue</t>
  </si>
  <si>
    <t>Undaria pinnatifida</t>
  </si>
  <si>
    <t>Saccharina latissima</t>
  </si>
  <si>
    <t>Autre macro-algue</t>
  </si>
  <si>
    <t>Micro-algue</t>
  </si>
  <si>
    <t>Chlorella</t>
  </si>
  <si>
    <t>Autre micro-algue ou cyanobactérie</t>
  </si>
  <si>
    <t>Spiruline</t>
  </si>
  <si>
    <t>Note : vente finale des produits finis (hors ventes entre professionnels).</t>
  </si>
  <si>
    <t xml:space="preserve"> Les pertes estimées en culture de Saccharina latissima ne concernent que les entreprises ayant</t>
  </si>
  <si>
    <t xml:space="preserve">eu des ventes en 2018. Trois entreprises ont eu 100% de perte en Saccharina latissima et donc </t>
  </si>
  <si>
    <t>aucune production en 2018.</t>
  </si>
  <si>
    <t>Lecture : 5 entreprises ont cultivé et vendu 68 tonnes d'Undaria pinnatifida en 2018, pour des ventes finales s'élevant à 155 000 euros.</t>
  </si>
  <si>
    <t>Source : Agreste - Recensement de la culture d'algues et de cyanobactéries 2018</t>
  </si>
  <si>
    <t>Production en culture d'algues et de cyanobactéries, en 2018, par région, hors production de semence</t>
  </si>
  <si>
    <t>Bretagne + Nouvelle-Aquitaine + Pays de la Loire</t>
  </si>
  <si>
    <t>Pays de la Loire (Vendée) + Occitanie + Auvergne-Rhône-Alpes</t>
  </si>
  <si>
    <t>Normandie + Bretagne + Pays de la Loire (Loire-Atlantique)</t>
  </si>
  <si>
    <t>Var</t>
  </si>
  <si>
    <t>Bouches-du-Rhône</t>
  </si>
  <si>
    <t>Vaucluse</t>
  </si>
  <si>
    <t>Alpes-de-Haute-Provence et Hautes-Alpes</t>
  </si>
  <si>
    <t>Alpes-Maritimes</t>
  </si>
  <si>
    <t>Normandie + Bretagne</t>
  </si>
  <si>
    <t>Pays de la Loire + Centre-Val de Loire</t>
  </si>
  <si>
    <t>Hérault</t>
  </si>
  <si>
    <t>Gard</t>
  </si>
  <si>
    <t>Lot, Aveyron et Tarn</t>
  </si>
  <si>
    <t>Aude et Pyrénées-Orientales</t>
  </si>
  <si>
    <t>Tarn-et-Garonne</t>
  </si>
  <si>
    <t>Hautes-Pyrénées, Gers, Haute-Garonne et Ariège</t>
  </si>
  <si>
    <t>Drôme et Ardèche</t>
  </si>
  <si>
    <t>Puy-de-Dôme, Rhône et Isère</t>
  </si>
  <si>
    <t>Savoie et Haute-Savoie</t>
  </si>
  <si>
    <t>Charente, Charente-Maritime et Vienne</t>
  </si>
  <si>
    <t>Gironde</t>
  </si>
  <si>
    <t>Pyrénées-Atlantiques et Landes</t>
  </si>
  <si>
    <t>Lot-et-Garonne, Dordogne et Corrèze</t>
  </si>
  <si>
    <t>Lecture : 44 entreprises de Provence-Alpes-Côte d'Azur ont cultivé et vendu 16 tonnes de spiruline (poids sec),</t>
  </si>
  <si>
    <t>pour des ventes finales s'élevant à 1 838 000 euros.</t>
  </si>
  <si>
    <t>Evénements exceptionnels dans la culture d'algues et de cyanobactéries en 2018</t>
  </si>
  <si>
    <t>Multiples</t>
  </si>
  <si>
    <t>Problème technique de culture</t>
  </si>
  <si>
    <t>Climat</t>
  </si>
  <si>
    <t>Problème personnel</t>
  </si>
  <si>
    <t>Note : les entreprises produisant des algues/cyanobactéries ont été réparties selon les types de produits cultivés.</t>
  </si>
  <si>
    <t>Si l'entreprise produit plusieurs types d'algues, elle est placée dans la catégorie 'Multiples'.</t>
  </si>
  <si>
    <t>Sont représentées toutes les entreprises ayant cultivé des algues/cyanobactéries, même celles qui n'ont pas réalisé de vente.</t>
  </si>
  <si>
    <t>Lecture : parmi les entreprises cultivant des macro-algues, 5 n'ont pas eu d'évènement exceptionnel en 2018 et 3 ont eu des problèmes techniques de culture.</t>
  </si>
  <si>
    <t>Répartition du chiffre d'affaires de la culture d'algues et de cyanobactéries selon le degré de transformation</t>
  </si>
  <si>
    <t>Type de transformation</t>
  </si>
  <si>
    <t>Frais ou congelé</t>
  </si>
  <si>
    <t>Salé</t>
  </si>
  <si>
    <t>Sec</t>
  </si>
  <si>
    <t>Autres dont extrait</t>
  </si>
  <si>
    <t xml:space="preserve">Lecture : les macro-algues de culture sont vendues séchées pour un montant de 79 000 euros, en frais ou congelé pour 198 000 euros ou en salées pour 9 000 euros. </t>
  </si>
  <si>
    <t>Répartition des volumes vendus issus de la culture d'algues et de cyanobactéries selon la destination</t>
  </si>
  <si>
    <t>detail</t>
  </si>
  <si>
    <t>Alimentation animale</t>
  </si>
  <si>
    <t>Toute alimentation animale</t>
  </si>
  <si>
    <t>Alimentation humaine</t>
  </si>
  <si>
    <t>Particulier en vente directe</t>
  </si>
  <si>
    <t>Magasin de producteur, amap ou magasins bio</t>
  </si>
  <si>
    <t>Grandes et moyennes surfaces (GMS)</t>
  </si>
  <si>
    <t>Industrie agro-alimentaire dans l'alimentation humaine</t>
  </si>
  <si>
    <t>Restaurateurs, traiteurs, poissonneries</t>
  </si>
  <si>
    <t>Non alimentaire</t>
  </si>
  <si>
    <t>Cosmétique ou pharmaceutique</t>
  </si>
  <si>
    <t xml:space="preserve">Note : particulier en vente directe : vente sur place, site internet, marchés... </t>
  </si>
  <si>
    <t>Lecture : 84 tonnes de macro-algues sont vendues pour l'alimentation humaine et animale et 37 tonnes pour la cosmétique ou la pharmaceutique.</t>
  </si>
  <si>
    <t>Répartition du chiffre d'affaires de la culture d'algues et de cyanobactéries selon le pays de destination</t>
  </si>
  <si>
    <t>Pays de destination</t>
  </si>
  <si>
    <t>France</t>
  </si>
  <si>
    <t>Union Européenne</t>
  </si>
  <si>
    <t>Hors de l'Union Européenne</t>
  </si>
  <si>
    <t>Lecture : la spiruline est vendue en France pour 7 313 000 euros, dans l'Union Européenne pour 267 000 euros et dans d'autres pays pour 20 000 euros.</t>
  </si>
  <si>
    <t>Part de la culture d'algues et de cyanobactéries selon une démarche qualité</t>
  </si>
  <si>
    <t>En % des volumes vendus</t>
  </si>
  <si>
    <t>Signataire de la charte Fédération des Spiruliniers de France</t>
  </si>
  <si>
    <t>Agriculture Biologique, y compris en conversion</t>
  </si>
  <si>
    <t>Ecocert</t>
  </si>
  <si>
    <t>Note : une algue/cyanobactérie peut être vendue sous plusieurs marques déposées ou signes de qualité.</t>
  </si>
  <si>
    <t>Lecture : 51 % de la spiruline produite en France est issue d'entreprise signataire de la charte Fédération des Spiruliniers de France.</t>
  </si>
  <si>
    <t xml:space="preserve">Répartition des entreprises de culture d'algues et de cyanobactéries selon leur statut </t>
  </si>
  <si>
    <t>Si l'entreprise produit plusieurs types d'algues/cyanobactéries, elle est placée dans la catégorie 'Multiples'.</t>
  </si>
  <si>
    <t>Lecture : parmi les entreprises cultivant les macro-algues, une a le statut de `personne physique en exploitation individuelle (dont EIRL, micro-entreprise) ou co-exploitation, en groupement de fait`, 5 de société commerciale et 2 n'ont pas indiqué leur statut.</t>
  </si>
  <si>
    <t>Répartition des entreprises de culture d'algues et de cyanobactéries selon le nombre de sites exploités</t>
  </si>
  <si>
    <t>Nombre de sites exploités</t>
  </si>
  <si>
    <t>Lecture : les 8 entreprises cultivant les macro-algues exploitent un seul site.</t>
  </si>
  <si>
    <t>Entreprises de culture d'algues et de cyanobactéries selon leur activité principale déclarée</t>
  </si>
  <si>
    <t>Espèce cultivée</t>
  </si>
  <si>
    <t>Algoculture</t>
  </si>
  <si>
    <t>Culture de spiruline</t>
  </si>
  <si>
    <t>L'activité principale est celle déclarée par l'entreprise.</t>
  </si>
  <si>
    <t>Lecture : parmi les entreprises qui cultivent des macro-algues, 3 déclarent la culture d'algues comme activité principale,</t>
  </si>
  <si>
    <t>3 la pêche, 1 la pisciculture et 1 une autre activité non listée.</t>
  </si>
  <si>
    <t>Entreprises de culture d'algues et de cyanobactéries selon leur activité secondaire</t>
  </si>
  <si>
    <t>Activité secondaire</t>
  </si>
  <si>
    <t>Récolte d'algues</t>
  </si>
  <si>
    <t>Aucune activité secondaire</t>
  </si>
  <si>
    <t>L'activité secondaire est celle déclarée par l'entreprise.</t>
  </si>
  <si>
    <t xml:space="preserve">Répartition des entreprises de culture d'algues et de cyanobactéries selon leur comptabilité </t>
  </si>
  <si>
    <t>Comptabilité pratiquée</t>
  </si>
  <si>
    <t>Lecture : parmi les entreprises qui cultivent des macro-algues, 8 utilisent comme enregistrement comptable un compte d'exploitation et un bilan comptable.</t>
  </si>
  <si>
    <t>Répartition des entreprises de culture d'algues et de cyanobactéries selon l'utilisation de prestations</t>
  </si>
  <si>
    <t>Répartition des entreprises de culture d'algues et de cyanobactéries selon les assurances souscrites</t>
  </si>
  <si>
    <t>en bombre d'entreprises</t>
  </si>
  <si>
    <t>Part des entreprises de culture d'algues et de cyanobactéries ayant introduit des innovations entre 2016 et 2018</t>
  </si>
  <si>
    <t>Espèce cultivée ou présentation/transformation des algues/cyanobactéries vendues</t>
  </si>
  <si>
    <t>Pratiques de culture</t>
  </si>
  <si>
    <t>Lecture : 50 % des entreprise qui cultivent des macro-algues ont introduit des innovations sur leurs pratiques de culture entre 2016 et 2018.</t>
  </si>
  <si>
    <t>Part des entreprises de culture d'algues et de cyanobactéries pratiquant l'aquaculture multitrophique intégrée</t>
  </si>
  <si>
    <t>En développement</t>
  </si>
  <si>
    <t>Non</t>
  </si>
  <si>
    <t>Non répondant</t>
  </si>
  <si>
    <t>Répartition des entreprises de culture d'algues et de cyanobactéries suivant leurs pratiques de traitement des rejets</t>
  </si>
  <si>
    <t>Traitement 1</t>
  </si>
  <si>
    <t>Traitement 2</t>
  </si>
  <si>
    <t>Bassins d'évaporation</t>
  </si>
  <si>
    <t xml:space="preserve">Bassins d'évaporation </t>
  </si>
  <si>
    <t xml:space="preserve"> Bassins de stockage fermé</t>
  </si>
  <si>
    <t xml:space="preserve"> Lagunage</t>
  </si>
  <si>
    <t>Bassins de stockage fermé</t>
  </si>
  <si>
    <t>Tout à l'égout</t>
  </si>
  <si>
    <t xml:space="preserve">Tout à l'égout </t>
  </si>
  <si>
    <t>Non concerné</t>
  </si>
  <si>
    <t>Lecture : parmi les entreprises cultivant la spiruline, 88 utilisent des bassins d'évaporation, 4 des bassins d'évaporation + des bassins de stockage fermé, 2 des bassins d'évaporation + du lagunage...</t>
  </si>
  <si>
    <t>Répartition des entreprises de culture d'algues et de cyanobactéries suivant leur utilisation d'energie</t>
  </si>
  <si>
    <t>Utilisation 1</t>
  </si>
  <si>
    <t>Utilisation 2</t>
  </si>
  <si>
    <t>Agitation</t>
  </si>
  <si>
    <t>Chauffage des bassins</t>
  </si>
  <si>
    <t xml:space="preserve">Chauffage des bassins </t>
  </si>
  <si>
    <t xml:space="preserve"> Séchage</t>
  </si>
  <si>
    <t xml:space="preserve">Éclairage des bassins </t>
  </si>
  <si>
    <t xml:space="preserve"> Extraction</t>
  </si>
  <si>
    <t>Extraction</t>
  </si>
  <si>
    <t>Panneaux solaires</t>
  </si>
  <si>
    <t>Phase d'écloserie</t>
  </si>
  <si>
    <t>Pompage</t>
  </si>
  <si>
    <t>Séchage</t>
  </si>
  <si>
    <t xml:space="preserve">Séchage </t>
  </si>
  <si>
    <t xml:space="preserve"> Agitation</t>
  </si>
  <si>
    <t>Navires utilisés pour la culture de macro-algues</t>
  </si>
  <si>
    <t>5 à 7m</t>
  </si>
  <si>
    <t>1965</t>
  </si>
  <si>
    <t>1990</t>
  </si>
  <si>
    <t>1999 - 2003</t>
  </si>
  <si>
    <t>10 à 20m</t>
  </si>
  <si>
    <t>90 à 110kW</t>
  </si>
  <si>
    <t>1975 - 1978</t>
  </si>
  <si>
    <t>Projet de transmission ou de cessation d'entreprises de culture d'algues et de cyanobactéries dans les cinq prochaines années</t>
  </si>
  <si>
    <t>Culture de macro ou micro-algues</t>
  </si>
  <si>
    <t>C'est une possibilité</t>
  </si>
  <si>
    <t>Lecture : parmi les entreprises cultivant de la spiruline, 101 n'ont pas de projet de transmission ou de de cessation d'entreprise prévue dans les 5 prochaines années,</t>
  </si>
  <si>
    <t>28 estiment que la transmission ou la cessation d'entreprise dans les 5 prochaines années est une possibilité,</t>
  </si>
  <si>
    <t>12 ont prévu de transmettre leur entreprise ou de cesser leur activité dans les 5 prochaines années,</t>
  </si>
  <si>
    <t>4 n'ont pas répondu.</t>
  </si>
  <si>
    <t>Seules les entreprises réalisant des ventes à la consommation sont comptées ici.</t>
  </si>
  <si>
    <t>Lecture : 2 036 entreprises ont produit et vendu à la consommation 92 947 tonnes d'huîtres en 2018, 
pour 380 031 000 euros.</t>
  </si>
  <si>
    <t>Autres poissons d'eau douce hors étang dont esturgeons et perches - chair</t>
  </si>
  <si>
    <t xml:space="preserve"> - IGP : Indication géographique protégée</t>
  </si>
  <si>
    <t>Les ventes entre professionnels étant comptabilisées, un même coquillage pourra être compté plusieurs fois : une fois par l'entreprise réalisant une vente vers un autre conchyliculteur, une fois par ce dernier en vente à la consommation.</t>
  </si>
  <si>
    <t>20 sont dans le Var, 10 dans les Bouches-du-Rhône, 4 en Vaucluse, 5 en Alpes-de-Haute-Provence + Hautes-Alpes, 5 en Alpes-Maritimes.</t>
  </si>
  <si>
    <t>Lecture : parmi les entreprises qui cultivent des macro-algues, une déclaire la conchyliculture comme activité secondaire, 1 la pisciculture, 2 la récolte d'algues et 4 n'ont pas d'activité secondaire.</t>
  </si>
  <si>
    <t>Lecture : parmi les entreprises qui cultivent des macro-algues, 8 ont recours à un prestataire pour établir leurs comptes, 4 ont également recours à un prestataire pour du conseil (juridique, fiscal, social, stratégie...).</t>
  </si>
  <si>
    <t>Lecture : parmi les entreprises qui cultivent des macro-algues, 4 ont souscrit une assurance pour leurs sites, 3 ont souscrit une assurace `perte d'exploitation`</t>
  </si>
  <si>
    <t>Lecture : parmi les entreprises cultivant la spiruline, 8 utilisent de l'énergie pour l'agitation, 4 pour le chauffage des bassins, 8 pour le chauffage des bassins + séchage,...</t>
  </si>
  <si>
    <t>Qualité, sanitaire, environnement</t>
  </si>
  <si>
    <t>Production d'algues et de cyanobactéries</t>
  </si>
  <si>
    <t>Répartition du chiffre d'affaires selon le degré de transformation</t>
  </si>
  <si>
    <t>Autre vaccin dont pasteurellose, Edwardsiella, Tenacibaculum sp., pancreas disease, flavobacteriose, streptococcose, carnobacter</t>
  </si>
  <si>
    <t>Autre produit de traitement dont sel, désogerme, eau oxygénée, insimax, sulfate de cuivre, adjusol, microchoc, benzocaine, chlorure de calcium, chlorure de magnésium, percarbonate</t>
  </si>
  <si>
    <t>Autre antibiotique dont Nuflor, Enrofloxacine et Amoxicilline</t>
  </si>
  <si>
    <t>Espèce élevée</t>
  </si>
  <si>
    <t>Aliments complets</t>
  </si>
  <si>
    <t>Granulés</t>
  </si>
  <si>
    <t>Artémias</t>
  </si>
  <si>
    <t>Autres aliments (céréales, complémentaires...)</t>
  </si>
  <si>
    <t>Esturgeons + autres poissons d'ean douce en circuit fermé</t>
  </si>
  <si>
    <t>Note : l'indice de conversion a été calculé à partir des déclarations des volumes poissons vendus et des volumes d'aliment utilisés. La formule utilisée est : Indice de conversion moyen = aliment distribué (kg) / poids des poissons vendus (kg).</t>
  </si>
  <si>
    <t>Indice de conversion moyen (calculé)</t>
  </si>
  <si>
    <t>Recours à un prestataire …</t>
  </si>
  <si>
    <t>… pour établir ses comptes</t>
  </si>
  <si>
    <t>...pour du conseil (juridique, fiscal, social, stratégie...)</t>
  </si>
  <si>
    <t>Oui</t>
  </si>
  <si>
    <t>Entreprises avec une assurance pour …</t>
  </si>
  <si>
    <t>… leurs sites</t>
  </si>
  <si>
    <t>… la mortalité des poissons</t>
  </si>
  <si>
    <t>… la perte d'exploitation</t>
  </si>
  <si>
    <t>... leurs sites</t>
  </si>
  <si>
    <t>Entreprises avec une assurance pour ...</t>
  </si>
  <si>
    <t>... la perte d'exploitation</t>
  </si>
  <si>
    <t>… établir ses comptes</t>
  </si>
  <si>
    <t>... du conseil (juridique, fiscal, social, stratégie...)</t>
  </si>
  <si>
    <t>Recours à un prestataire pour …</t>
  </si>
  <si>
    <t>en 2007</t>
  </si>
  <si>
    <t>en 2018</t>
  </si>
  <si>
    <t>Source : Agreste - Recensement de la pisciculture 2018 - Recensement de la pisciculture 2007</t>
  </si>
  <si>
    <t>en % de l'ensemble des sites du champ</t>
  </si>
  <si>
    <t>Source : Agreste - Recensement de la pisciculture 1997, 2007, 2018</t>
  </si>
  <si>
    <t>Toutes</t>
  </si>
  <si>
    <t xml:space="preserve">Dans le questionnaire les productions de coquillages fouisseurs (coque et palourde) ne sont pas à saisir par mode d'élvage. Aussi ces productions sont indiquées avec une "technique non définie". Il est à noter que cet élevage est habituellement conduit au travers de semis au sol directement sur parc. </t>
  </si>
  <si>
    <t>Volumes d'huîtres affinées en claires</t>
  </si>
  <si>
    <t>Lecture : Parmi les entreprises dont l'activité pisicole générant le plus de chiffre d'affaires est l'élevage de salmonidés, il y a 272 entreprises qui déclarent comme activité principale la pisciculture, 10 l'agriculture, 7 des activités récréatives, 4 la pêche, 8 une autre activité non listée et 23 qui n'ont pas répondu.</t>
  </si>
  <si>
    <t>Evolution 2008 - 2018</t>
  </si>
  <si>
    <t>Evolution 2013 - 2018</t>
  </si>
  <si>
    <t>Autres coquillages et crustacés</t>
  </si>
  <si>
    <t>Ventes à la consommation des piscicultures en 2018, par espèce, hors écloserie / nurserie</t>
  </si>
  <si>
    <t>Note : ventes à la consommation des piscicultures.</t>
  </si>
  <si>
    <t>Une entreprise qui élève plusieurs espèces sera comptée plusieurs fois. Seules les entreprises réalisant des ventes à la consommation sont comptées ici.</t>
  </si>
  <si>
    <t>Ventes à la consommation</t>
  </si>
  <si>
    <t>Oeufs non embryonnés pour la reproduction</t>
  </si>
  <si>
    <t>Les œufs non embryonnés indiqués dans ce tableau sont à vocation de reproduction. Ils diffèrent donc des œufs non embryonnés de truite des tableaux de ventes  à la consommation.</t>
  </si>
  <si>
    <t xml:space="preserve"> L'activité principale d'une entreprise est l'activité aquacole qui a généré le chiffre d'affaires le plus élevé en 2018.</t>
  </si>
  <si>
    <t>Note : les effectifs et ETP de ce tableau correspondent à toutes les personnes travaillant dans les entreprises aquacoles. Sont regroupés les dirigeants, la main d'œuvre permanente salariée ou non salariée, la main d'œuvre saisonnière ou occasionnelle, quelque soit leur convention collective de rattachement.
Les données collectées ne permettent pas d’identifier les salariés relevant de la Convention Collective Aquacole.</t>
  </si>
  <si>
    <t>Emploi en conchyliculture par région conchylicole du siège de l'entreprise</t>
  </si>
  <si>
    <t>Emploi en pisciculture par région du siège de l'entreprise</t>
  </si>
  <si>
    <t>Version complète</t>
  </si>
  <si>
    <t>Pas d'ETP déclaré en 2018</t>
  </si>
  <si>
    <t>De 0 à 1 ETP</t>
  </si>
  <si>
    <t>De 1 à 2 ETP</t>
  </si>
  <si>
    <t>De 2 à 3 ETP</t>
  </si>
  <si>
    <t>De 3 à 4 ETP</t>
  </si>
  <si>
    <t>De 4 à 5 ETP</t>
  </si>
  <si>
    <t>De 5 à 10 ETP</t>
  </si>
  <si>
    <t>De 10 à 20 ETP</t>
  </si>
  <si>
    <t>De 20 à 50 ETP</t>
  </si>
  <si>
    <t>Plus de 50 ETP</t>
  </si>
  <si>
    <t>De 5 à 20 ETP</t>
  </si>
  <si>
    <t>De 0 à 2 ETP</t>
  </si>
  <si>
    <t>De 4 à 10 ETP</t>
  </si>
  <si>
    <t>De 10 à 50 ETP</t>
  </si>
  <si>
    <t>Plus de  50 à ETP</t>
  </si>
  <si>
    <t>Pas de CA en 2018</t>
  </si>
  <si>
    <t>De 0 à 5 k€</t>
  </si>
  <si>
    <t>De 5 k€ à 10 k€</t>
  </si>
  <si>
    <t>De 10 k€ à 20 k€</t>
  </si>
  <si>
    <t>De 20 k€ à 30 k€</t>
  </si>
  <si>
    <t>De 30 k€ à 40 k€</t>
  </si>
  <si>
    <t>De 40 k€ à 50 k€</t>
  </si>
  <si>
    <t>De 50 k€ à 60 k€</t>
  </si>
  <si>
    <t>De 60 k€ à 70 k€</t>
  </si>
  <si>
    <t>De 70 k€ à 80 k€</t>
  </si>
  <si>
    <t>De 80 k€ à 90 k€</t>
  </si>
  <si>
    <t>De 90 k€ à 100 k€</t>
  </si>
  <si>
    <t>De 100 k€ à 125 k€</t>
  </si>
  <si>
    <t>De 125 k€ à 150 k€</t>
  </si>
  <si>
    <t>De 150 k€ à 200 k€</t>
  </si>
  <si>
    <t>De 200 k€ à 350 k€</t>
  </si>
  <si>
    <t>De 250 k€ à 300 k€</t>
  </si>
  <si>
    <t>De 300 k€ à 400 k€</t>
  </si>
  <si>
    <t>De 400 k€ à 500 k€</t>
  </si>
  <si>
    <t>De 500 k€ à 750 k€</t>
  </si>
  <si>
    <t>De 750 k€ à 1 000 k€</t>
  </si>
  <si>
    <t>De 1 000 k€ à 1 500 k€</t>
  </si>
  <si>
    <t>De 1 500 k€ à 3 000 k€</t>
  </si>
  <si>
    <t>Plus de 3 000 k€</t>
  </si>
  <si>
    <t>Tous dont larves, alevins et juvéniles</t>
  </si>
  <si>
    <t>Norm. - M.d.N.</t>
  </si>
  <si>
    <t>B. Nord</t>
  </si>
  <si>
    <t>B. Sud</t>
  </si>
  <si>
    <t>P.d.L</t>
  </si>
  <si>
    <t>Char.-Marit.</t>
  </si>
  <si>
    <t>Arc. Aquit.</t>
  </si>
  <si>
    <t>Méd.</t>
  </si>
  <si>
    <t>Conso.</t>
  </si>
  <si>
    <t>Pro.</t>
  </si>
  <si>
    <t>Prégrossi</t>
  </si>
  <si>
    <t xml:space="preserve">Palourde, coque, ormeau et autres coquillages </t>
  </si>
  <si>
    <t xml:space="preserve">Prégrossi </t>
  </si>
  <si>
    <t xml:space="preserve">Abréviations : 
- Norm. M.d.N : Nomandie - Mer du Nord
- B. Nord : Bretagne Nord
- B. Sud : Bretagne Sud
- P.d.L : Pays de la Loire
- Char. Mar. : Charente-Maritime
- Arca. Aqu. : Arcachon Aquitaine
- Méd. : Méditerranée
- Conso. : vente aux consommateurs
- Pro. : vente entre professionnels
- Prégrossi : prégrossissement ou demi-élevage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</si>
</sst>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0"/>
      <color rgb="FF000000"/>
      <name val="Arial"/>
    </font>
    <font>
      <b/>
      <sz val="11"/>
      <color rgb="FF000000"/>
      <name val="Arial"/>
    </font>
    <font>
      <b/>
      <sz val="11"/>
      <color rgb="FFFFFFFF"/>
      <name val="Arial"/>
    </font>
    <font>
      <u/>
      <sz val="10"/>
      <color rgb="FF000000"/>
      <name val="Arial"/>
    </font>
    <font>
      <b/>
      <sz val="10"/>
      <color rgb="FFFFFFFF"/>
      <name val="Arial"/>
    </font>
    <font>
      <u/>
      <sz val="11"/>
      <color rgb="FFFFFFFF"/>
      <name val="Arial"/>
    </font>
    <font>
      <i/>
      <sz val="10"/>
      <color rgb="FF000000"/>
      <name val="Arial"/>
    </font>
    <font>
      <b/>
      <sz val="10"/>
      <color rgb="FF000000"/>
      <name val="Arial"/>
    </font>
    <font>
      <sz val="9"/>
      <color rgb="FF000000"/>
      <name val="Arial"/>
    </font>
    <font>
      <i/>
      <sz val="9"/>
      <color rgb="FF000000"/>
      <name val="Arial"/>
    </font>
    <font>
      <b/>
      <i/>
      <sz val="10"/>
      <color rgb="FFFFFFFF"/>
      <name val="Arial"/>
      <family val="2"/>
    </font>
    <font>
      <i/>
      <sz val="10"/>
      <color rgb="FF000000"/>
      <name val="Arial"/>
      <family val="2"/>
    </font>
    <font>
      <i/>
      <sz val="9"/>
      <color rgb="FF000000"/>
      <name val="Arial"/>
      <family val="2"/>
    </font>
    <font>
      <sz val="10"/>
      <color rgb="FF000000"/>
      <name val="Arial"/>
      <family val="2"/>
    </font>
    <font>
      <b/>
      <sz val="10"/>
      <color rgb="FFFFFFFF"/>
      <name val="Arial"/>
      <family val="2"/>
    </font>
    <font>
      <sz val="9"/>
      <color rgb="FF000000"/>
      <name val="Arial"/>
      <family val="2"/>
    </font>
  </fonts>
  <fills count="5">
    <fill>
      <patternFill patternType="none"/>
    </fill>
    <fill>
      <patternFill patternType="gray125"/>
    </fill>
    <fill>
      <patternFill patternType="solid">
        <fgColor rgb="FFB2004C"/>
      </patternFill>
    </fill>
    <fill>
      <patternFill patternType="solid">
        <fgColor rgb="FFE8B2C9"/>
      </patternFill>
    </fill>
    <fill>
      <patternFill patternType="solid">
        <fgColor rgb="FFD16694"/>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667">
    <xf numFmtId="0" fontId="0" fillId="0" borderId="0" xfId="0"/>
    <xf numFmtId="0" fontId="2" fillId="2" borderId="1" xfId="0" applyFont="1" applyFill="1" applyBorder="1" applyAlignment="1">
      <alignment horizontal="left" vertical="center" wrapText="1"/>
    </xf>
    <xf numFmtId="0" fontId="3" fillId="3" borderId="1" xfId="0" applyFont="1" applyFill="1" applyBorder="1" applyAlignment="1">
      <alignment horizontal="left" vertical="center" wrapText="1" indent="3"/>
    </xf>
    <xf numFmtId="0" fontId="4" fillId="4" borderId="1"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4"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6" fillId="0" borderId="1" xfId="0" applyFont="1" applyBorder="1" applyAlignment="1">
      <alignment horizontal="lef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164" fontId="6" fillId="0" borderId="1" xfId="0" applyNumberFormat="1" applyFont="1" applyBorder="1" applyAlignment="1">
      <alignment horizontal="right" vertical="center" wrapText="1" indent="1"/>
    </xf>
    <xf numFmtId="0" fontId="0" fillId="0" borderId="1" xfId="0" applyFont="1" applyBorder="1" applyAlignment="1">
      <alignment horizontal="left" vertical="center" wrapTex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7" fillId="3"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164" fontId="6"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164" fontId="6"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164"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6"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6"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164" fontId="4" fillId="4" borderId="1" xfId="0" applyNumberFormat="1" applyFont="1" applyFill="1" applyBorder="1" applyAlignment="1">
      <alignment horizontal="right" vertical="center" wrapText="1" indent="1"/>
    </xf>
    <xf numFmtId="164" fontId="6"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3" fontId="0" fillId="0" borderId="1" xfId="0" applyNumberFormat="1" applyFont="1" applyBorder="1" applyAlignment="1">
      <alignment horizontal="right" vertical="center" wrapText="1" indent="1"/>
    </xf>
    <xf numFmtId="0" fontId="0" fillId="0" borderId="0" xfId="0"/>
    <xf numFmtId="0" fontId="1"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0" xfId="0"/>
    <xf numFmtId="0" fontId="0" fillId="0" borderId="1" xfId="0" applyFont="1" applyBorder="1" applyAlignment="1">
      <alignment horizontal="left" vertical="center" wrapTex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3" fontId="4" fillId="4" borderId="1" xfId="0" applyNumberFormat="1" applyFont="1" applyFill="1" applyBorder="1" applyAlignment="1">
      <alignment horizontal="right" vertical="center" wrapText="1" indent="1"/>
    </xf>
    <xf numFmtId="0" fontId="0" fillId="0" borderId="0" xfId="0"/>
    <xf numFmtId="0" fontId="0" fillId="0" borderId="1" xfId="0" applyFont="1" applyBorder="1" applyAlignment="1">
      <alignment horizontal="left" vertical="center" wrapTex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0" fontId="7" fillId="3" borderId="1" xfId="0" applyFont="1" applyFill="1" applyBorder="1" applyAlignment="1">
      <alignment horizontal="left" vertical="center" wrapText="1"/>
    </xf>
    <xf numFmtId="3" fontId="7" fillId="3" borderId="1" xfId="0" applyNumberFormat="1" applyFont="1" applyFill="1" applyBorder="1" applyAlignment="1">
      <alignment horizontal="right" vertical="center" wrapText="1" indent="1"/>
    </xf>
    <xf numFmtId="0" fontId="10" fillId="2" borderId="1" xfId="0" applyFont="1" applyFill="1" applyBorder="1" applyAlignment="1">
      <alignment horizontal="center" vertical="center" wrapText="1"/>
    </xf>
    <xf numFmtId="3" fontId="11" fillId="0" borderId="1" xfId="0" applyNumberFormat="1" applyFont="1" applyBorder="1" applyAlignment="1">
      <alignment horizontal="right" vertical="center" wrapText="1" indent="1"/>
    </xf>
    <xf numFmtId="3" fontId="10" fillId="4" borderId="1" xfId="0" applyNumberFormat="1" applyFont="1" applyFill="1" applyBorder="1" applyAlignment="1">
      <alignment horizontal="right" vertical="center" wrapText="1" indent="1"/>
    </xf>
    <xf numFmtId="3" fontId="13" fillId="0" borderId="1" xfId="0" applyNumberFormat="1" applyFont="1" applyBorder="1" applyAlignment="1">
      <alignment horizontal="right" vertical="center" wrapText="1" indent="1"/>
    </xf>
    <xf numFmtId="0" fontId="14" fillId="2" borderId="1" xfId="0" applyFont="1" applyFill="1" applyBorder="1" applyAlignment="1">
      <alignment horizontal="center" vertical="center" wrapText="1"/>
    </xf>
    <xf numFmtId="0" fontId="0" fillId="0" borderId="0" xfId="0" applyFont="1" applyBorder="1" applyAlignment="1">
      <alignment horizontal="left" vertical="center" wrapText="1"/>
    </xf>
    <xf numFmtId="164" fontId="0" fillId="0" borderId="0" xfId="0" applyNumberFormat="1" applyFont="1" applyBorder="1" applyAlignment="1">
      <alignment horizontal="right" vertical="center" wrapText="1" indent="1"/>
    </xf>
    <xf numFmtId="3" fontId="0" fillId="0" borderId="0" xfId="0" applyNumberFormat="1" applyFont="1" applyBorder="1" applyAlignment="1">
      <alignment horizontal="right" vertical="center" wrapText="1" indent="1"/>
    </xf>
    <xf numFmtId="0" fontId="14" fillId="4" borderId="1" xfId="0" applyFont="1" applyFill="1" applyBorder="1" applyAlignment="1">
      <alignment horizontal="left" vertical="center" wrapText="1"/>
    </xf>
    <xf numFmtId="0" fontId="11" fillId="0" borderId="1" xfId="0" applyFont="1" applyBorder="1" applyAlignment="1">
      <alignment horizontal="center" vertical="center" wrapText="1"/>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8" fillId="0" borderId="0" xfId="0" applyFont="1" applyAlignment="1">
      <alignment vertical="center" wrapText="1"/>
    </xf>
    <xf numFmtId="0" fontId="0" fillId="0" borderId="0" xfId="0"/>
    <xf numFmtId="0" fontId="11" fillId="0" borderId="1" xfId="0" applyFont="1" applyBorder="1" applyAlignment="1">
      <alignment horizontal="left" vertical="center" wrapText="1" indent="1"/>
    </xf>
    <xf numFmtId="164" fontId="11" fillId="0" borderId="1" xfId="0" applyNumberFormat="1" applyFont="1" applyBorder="1" applyAlignment="1">
      <alignment horizontal="right" vertical="center" wrapText="1" indent="1"/>
    </xf>
    <xf numFmtId="3" fontId="0" fillId="0" borderId="1" xfId="0" applyNumberFormat="1" applyFont="1" applyBorder="1" applyAlignment="1">
      <alignment horizontal="right" vertical="center" wrapText="1" indent="1"/>
    </xf>
    <xf numFmtId="164" fontId="0" fillId="0" borderId="1" xfId="0" applyNumberFormat="1" applyFont="1" applyBorder="1" applyAlignment="1">
      <alignment horizontal="right" vertical="center" wrapText="1" indent="1"/>
    </xf>
    <xf numFmtId="0" fontId="0" fillId="0" borderId="1" xfId="0" applyFont="1" applyBorder="1" applyAlignment="1">
      <alignment horizontal="left" vertical="center" wrapText="1"/>
    </xf>
    <xf numFmtId="0" fontId="0" fillId="0" borderId="0" xfId="0"/>
    <xf numFmtId="3" fontId="0" fillId="0" borderId="1" xfId="0" applyNumberFormat="1" applyFont="1" applyBorder="1" applyAlignment="1">
      <alignment horizontal="right" vertical="center" wrapText="1" indent="1"/>
    </xf>
    <xf numFmtId="0" fontId="0" fillId="0" borderId="0" xfId="0"/>
    <xf numFmtId="0" fontId="0" fillId="0" borderId="14" xfId="0" applyBorder="1" applyAlignment="1">
      <alignment wrapText="1"/>
    </xf>
    <xf numFmtId="3" fontId="0" fillId="0" borderId="5" xfId="0" applyNumberFormat="1" applyFont="1" applyBorder="1" applyAlignment="1">
      <alignment horizontal="right" vertical="center" wrapText="1" indent="1"/>
    </xf>
    <xf numFmtId="0" fontId="2" fillId="2" borderId="0" xfId="0" applyFont="1" applyFill="1" applyBorder="1" applyAlignment="1">
      <alignment horizontal="center" vertical="center" wrapText="1"/>
    </xf>
    <xf numFmtId="0" fontId="8" fillId="0" borderId="0" xfId="0" applyFont="1" applyAlignment="1">
      <alignment vertical="center" wrapText="1"/>
    </xf>
    <xf numFmtId="0" fontId="0" fillId="0" borderId="0" xfId="0"/>
    <xf numFmtId="0" fontId="9" fillId="0" borderId="0" xfId="0" applyFont="1" applyAlignment="1">
      <alignment vertical="center" wrapText="1"/>
    </xf>
    <xf numFmtId="0" fontId="5" fillId="2" borderId="1" xfId="0" applyFont="1" applyFill="1" applyBorder="1" applyAlignment="1">
      <alignment horizontal="center" vertical="center" wrapText="1"/>
    </xf>
    <xf numFmtId="0" fontId="1" fillId="0" borderId="0" xfId="0" applyFont="1" applyAlignment="1">
      <alignment horizontal="left" vertical="center" wrapText="1"/>
    </xf>
    <xf numFmtId="0" fontId="6"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3" fontId="0" fillId="0" borderId="1" xfId="0" applyNumberFormat="1" applyFont="1" applyBorder="1" applyAlignment="1">
      <alignment horizontal="right" vertical="center" wrapText="1" indent="1"/>
    </xf>
    <xf numFmtId="0" fontId="6" fillId="0" borderId="0" xfId="0" applyFont="1" applyAlignment="1">
      <alignment horizontal="right" vertical="center" wrapText="1"/>
    </xf>
    <xf numFmtId="0" fontId="4" fillId="2" borderId="1" xfId="0" applyFont="1" applyFill="1" applyBorder="1" applyAlignment="1">
      <alignment horizontal="left" vertical="center" wrapText="1"/>
    </xf>
    <xf numFmtId="3" fontId="4" fillId="2" borderId="1" xfId="0" applyNumberFormat="1" applyFont="1" applyFill="1" applyBorder="1" applyAlignment="1">
      <alignment horizontal="right" vertical="center" wrapText="1" indent="1"/>
    </xf>
    <xf numFmtId="164" fontId="0" fillId="0" borderId="1" xfId="0" applyNumberFormat="1" applyFont="1" applyBorder="1" applyAlignment="1">
      <alignment horizontal="right" vertical="center" wrapText="1" indent="1"/>
    </xf>
    <xf numFmtId="0" fontId="7" fillId="3" borderId="1" xfId="0" applyFont="1" applyFill="1" applyBorder="1" applyAlignment="1">
      <alignment horizontal="left" vertical="center" wrapText="1"/>
    </xf>
    <xf numFmtId="3" fontId="7" fillId="3" borderId="1" xfId="0" applyNumberFormat="1" applyFont="1" applyFill="1" applyBorder="1" applyAlignment="1">
      <alignment horizontal="right" vertical="center" wrapText="1" indent="1"/>
    </xf>
    <xf numFmtId="164" fontId="7" fillId="3" borderId="1" xfId="0" applyNumberFormat="1" applyFont="1" applyFill="1" applyBorder="1" applyAlignment="1">
      <alignment horizontal="right" vertical="center" wrapText="1" indent="1"/>
    </xf>
    <xf numFmtId="0" fontId="15" fillId="0" borderId="0" xfId="0" applyFont="1" applyAlignment="1">
      <alignment horizontal="left" vertical="center" wrapText="1"/>
    </xf>
    <xf numFmtId="0" fontId="8" fillId="0" borderId="0" xfId="0" applyFont="1" applyAlignment="1">
      <alignment horizontal="left" vertical="center" wrapText="1"/>
    </xf>
    <xf numFmtId="0" fontId="5" fillId="2" borderId="0" xfId="0" applyFont="1" applyFill="1" applyBorder="1" applyAlignment="1">
      <alignment horizontal="center" vertical="center" wrapText="1"/>
    </xf>
    <xf numFmtId="0" fontId="15" fillId="0" borderId="0" xfId="0" applyFont="1" applyAlignment="1">
      <alignment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4" xfId="0" applyFont="1" applyBorder="1" applyAlignment="1">
      <alignment horizontal="left" vertical="center" wrapText="1"/>
    </xf>
    <xf numFmtId="0" fontId="4" fillId="2" borderId="1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6" fillId="0" borderId="11" xfId="0" applyFont="1" applyBorder="1" applyAlignment="1">
      <alignment horizontal="righ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13" xfId="0" applyFont="1" applyBorder="1" applyAlignment="1">
      <alignment horizontal="left" vertical="center" wrapText="1"/>
    </xf>
    <xf numFmtId="0" fontId="4" fillId="2" borderId="15"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0" fillId="0" borderId="0" xfId="0" applyAlignment="1">
      <alignment horizontal="left" wrapText="1"/>
    </xf>
    <xf numFmtId="0" fontId="9" fillId="0" borderId="0" xfId="0" applyFont="1" applyAlignment="1">
      <alignment horizontal="left" vertical="center" wrapText="1"/>
    </xf>
    <xf numFmtId="3" fontId="6" fillId="0" borderId="1" xfId="0" applyNumberFormat="1" applyFont="1" applyBorder="1" applyAlignment="1">
      <alignment horizontal="right" vertical="center" wrapText="1" indent="1"/>
    </xf>
    <xf numFmtId="164" fontId="6" fillId="0" borderId="1" xfId="0" applyNumberFormat="1" applyFont="1" applyBorder="1" applyAlignment="1">
      <alignment horizontal="right" vertical="center" wrapText="1" indent="1"/>
    </xf>
    <xf numFmtId="0" fontId="9" fillId="0" borderId="2" xfId="0" applyFont="1" applyBorder="1" applyAlignment="1">
      <alignment vertical="center" wrapText="1"/>
    </xf>
    <xf numFmtId="164" fontId="4" fillId="2" borderId="1" xfId="0" applyNumberFormat="1" applyFont="1" applyFill="1" applyBorder="1" applyAlignment="1">
      <alignment horizontal="right" vertical="center" wrapText="1" indent="1"/>
    </xf>
    <xf numFmtId="0" fontId="8" fillId="0" borderId="2" xfId="0" applyFont="1" applyBorder="1" applyAlignment="1">
      <alignmen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12" fillId="0" borderId="0" xfId="0" applyFont="1" applyAlignment="1">
      <alignment vertical="center" wrapText="1"/>
    </xf>
    <xf numFmtId="3" fontId="11" fillId="0" borderId="6" xfId="0" applyNumberFormat="1" applyFont="1" applyBorder="1" applyAlignment="1">
      <alignment horizontal="right" vertical="center" wrapText="1" indent="1"/>
    </xf>
    <xf numFmtId="3" fontId="11" fillId="0" borderId="8" xfId="0" applyNumberFormat="1" applyFont="1" applyBorder="1" applyAlignment="1">
      <alignment horizontal="right" vertical="center" wrapText="1" indent="1"/>
    </xf>
    <xf numFmtId="0" fontId="11" fillId="0" borderId="0" xfId="0" applyFont="1" applyAlignment="1">
      <alignment horizontal="right" vertical="center" wrapText="1"/>
    </xf>
    <xf numFmtId="0" fontId="4" fillId="4" borderId="1" xfId="0" applyFont="1" applyFill="1" applyBorder="1" applyAlignment="1">
      <alignment horizontal="left" vertical="center" wrapText="1"/>
    </xf>
    <xf numFmtId="3" fontId="4" fillId="4" borderId="1" xfId="0" applyNumberFormat="1" applyFont="1" applyFill="1" applyBorder="1" applyAlignment="1">
      <alignment horizontal="right" vertical="center" wrapText="1" indent="1"/>
    </xf>
    <xf numFmtId="0" fontId="6" fillId="0" borderId="1"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zoomScaleNormal="100" workbookViewId="0">
      <selection activeCell="B110" sqref="B110"/>
    </sheetView>
  </sheetViews>
  <sheetFormatPr baseColWidth="10" defaultColWidth="9.140625" defaultRowHeight="12.75" x14ac:dyDescent="0.2"/>
  <cols>
    <col min="1" max="1" width="83.7109375" style="569" customWidth="1"/>
  </cols>
  <sheetData>
    <row r="1" spans="1:7" ht="15" x14ac:dyDescent="0.2">
      <c r="A1" s="570" t="s">
        <v>0</v>
      </c>
      <c r="C1" s="607" t="s">
        <v>980</v>
      </c>
      <c r="D1" s="607"/>
      <c r="E1" s="607"/>
      <c r="F1" s="607"/>
      <c r="G1" s="607"/>
    </row>
    <row r="2" spans="1:7" x14ac:dyDescent="0.2">
      <c r="C2" s="607"/>
      <c r="D2" s="607"/>
      <c r="E2" s="607"/>
      <c r="F2" s="607"/>
      <c r="G2" s="607"/>
    </row>
    <row r="3" spans="1:7" ht="15" x14ac:dyDescent="0.2">
      <c r="A3" s="1" t="s">
        <v>1</v>
      </c>
      <c r="C3" s="607"/>
      <c r="D3" s="607"/>
      <c r="E3" s="607"/>
      <c r="F3" s="607"/>
      <c r="G3" s="607"/>
    </row>
    <row r="4" spans="1:7" ht="25.5" x14ac:dyDescent="0.2">
      <c r="A4" s="2" t="str">
        <f>HYPERLINK("#'aquaculture_hors_ecloserie'!A1", "Ventes à la consommation de produits de l'aquaculture à l'exception des écloseries et nurseries")</f>
        <v>Ventes à la consommation de produits de l'aquaculture à l'exception des écloseries et nurseries</v>
      </c>
      <c r="B4" s="604"/>
    </row>
    <row r="5" spans="1:7" x14ac:dyDescent="0.2">
      <c r="A5" s="2" t="str">
        <f>HYPERLINK("#'evolution_aqua_ca_ventes'!A1", "Evolution des ventes finales de produits issus de l'aquaculture, en valeur")</f>
        <v>Evolution des ventes finales de produits issus de l'aquaculture, en valeur</v>
      </c>
      <c r="B5" s="604"/>
    </row>
    <row r="6" spans="1:7" x14ac:dyDescent="0.2">
      <c r="A6" s="2" t="str">
        <f>HYPERLINK("#'evolution_aqua_vol_ventes'!A1", "Evolution des ventes finales de produits issus de l'aquaculture, en volume")</f>
        <v>Evolution des ventes finales de produits issus de l'aquaculture, en volume</v>
      </c>
      <c r="B6" s="604"/>
    </row>
    <row r="7" spans="1:7" x14ac:dyDescent="0.2">
      <c r="A7" s="2" t="str">
        <f>HYPERLINK("#'strate_CA'!A1", "Répartition des entreprises par CA aquacole et activité principale")</f>
        <v>Répartition des entreprises par CA aquacole et activité principale</v>
      </c>
      <c r="B7" s="604"/>
    </row>
    <row r="8" spans="1:7" x14ac:dyDescent="0.2">
      <c r="A8" s="2" t="str">
        <f>HYPERLINK("#'strate_ETP'!A1", "Répartition des entreprises par ETP et activité principale")</f>
        <v>Répartition des entreprises par ETP et activité principale</v>
      </c>
      <c r="B8" s="604"/>
    </row>
    <row r="10" spans="1:7" ht="15" x14ac:dyDescent="0.2">
      <c r="A10" s="1" t="s">
        <v>2</v>
      </c>
    </row>
    <row r="11" spans="1:7" x14ac:dyDescent="0.2">
      <c r="A11" s="2" t="str">
        <f>HYPERLINK("#'emploi_aquaculture'!A1", "Emploi en aquaculture : effectif et équivalent temps-plein par activité")</f>
        <v>Emploi en aquaculture : effectif et équivalent temps-plein par activité</v>
      </c>
      <c r="B11" s="604"/>
    </row>
    <row r="12" spans="1:7" x14ac:dyDescent="0.2">
      <c r="A12" s="2" t="str">
        <f>HYPERLINK("#'conchyliculture_emploi'!A1", "Emploi en conchyliculture par région conchylicole du siège de l'entreprise")</f>
        <v>Emploi en conchyliculture par région conchylicole du siège de l'entreprise</v>
      </c>
      <c r="B12" s="604"/>
    </row>
    <row r="13" spans="1:7" x14ac:dyDescent="0.2">
      <c r="A13" s="2" t="str">
        <f>HYPERLINK("#'pisciculture_emploi'!A1", "Emploi en pisciculture  par région du siège de l'entreprise")</f>
        <v>Emploi en pisciculture  par région du siège de l'entreprise</v>
      </c>
      <c r="B13" s="604"/>
    </row>
    <row r="14" spans="1:7" x14ac:dyDescent="0.2">
      <c r="A14" s="2" t="str">
        <f>HYPERLINK("#'algoculture_emploi'!A1", "Emploi en culture d'algues et cyanobactéries")</f>
        <v>Emploi en culture d'algues et cyanobactéries</v>
      </c>
      <c r="B14" s="604"/>
    </row>
    <row r="15" spans="1:7" x14ac:dyDescent="0.2">
      <c r="A15" s="2" t="str">
        <f>HYPERLINK("#'emploi_femmes'!A1", "Part des femmes dans les entreprises aquacoles")</f>
        <v>Part des femmes dans les entreprises aquacoles</v>
      </c>
      <c r="B15" s="604"/>
    </row>
    <row r="16" spans="1:7" ht="25.5" x14ac:dyDescent="0.2">
      <c r="A16" s="2" t="str">
        <f>HYPERLINK("#'emploi_age_dirigeant'!A1", "Répartition des dirigeants des entreprises aquacoles par âge et par activité principale de l'entreprise")</f>
        <v>Répartition des dirigeants des entreprises aquacoles par âge et par activité principale de l'entreprise</v>
      </c>
    </row>
    <row r="17" spans="1:1" ht="25.5" x14ac:dyDescent="0.2">
      <c r="A17" s="2" t="str">
        <f>HYPERLINK("#'emploi_diplome_dirigeant'!A1", "Répartition des dirigeants des entreprises aquacoles par diplôme et par activité principale de l'entreprise")</f>
        <v>Répartition des dirigeants des entreprises aquacoles par diplôme et par activité principale de l'entreprise</v>
      </c>
    </row>
    <row r="18" spans="1:1" ht="25.5" x14ac:dyDescent="0.2">
      <c r="A18" s="2" t="str">
        <f>HYPERLINK("#'emploi_regime_social_dirigeant'!A1", "Répartition des dirigeants des entreprises aquacoles par régime social et par activité principale de l'entreprise")</f>
        <v>Répartition des dirigeants des entreprises aquacoles par régime social et par activité principale de l'entreprise</v>
      </c>
    </row>
    <row r="20" spans="1:1" ht="15" x14ac:dyDescent="0.2">
      <c r="A20" s="1" t="s">
        <v>3</v>
      </c>
    </row>
    <row r="21" spans="1:1" x14ac:dyDescent="0.2">
      <c r="A21" s="3" t="s">
        <v>4</v>
      </c>
    </row>
    <row r="22" spans="1:1" ht="25.5" x14ac:dyDescent="0.2">
      <c r="A22" s="2" t="str">
        <f>HYPERLINK("#'conchyliculture_france'!A1", "Ventes entre professionnels et ventes pour la consommation en conchyliculture par espèce, hors écloserie/nurserie (naissain)")</f>
        <v>Ventes entre professionnels et ventes pour la consommation en conchyliculture par espèce, hors écloserie/nurserie (naissain)</v>
      </c>
    </row>
    <row r="23" spans="1:1" ht="25.5" x14ac:dyDescent="0.2">
      <c r="A23" s="2" t="str">
        <f>HYPERLINK("#'conchyliculture_region'!A1", "Ventes entre professionnels et ventes pour la consommation en conchyliculture par région du siège l'entreprise, hors écloserie/nurserie (naissain)")</f>
        <v>Ventes entre professionnels et ventes pour la consommation en conchyliculture par région du siège l'entreprise, hors écloserie/nurserie (naissain)</v>
      </c>
    </row>
    <row r="24" spans="1:1" ht="25.5" x14ac:dyDescent="0.2">
      <c r="A24" s="2" t="str">
        <f>HYPERLINK("#'conchyliculture_mode_elevage'!A1", "Répartition des ventes en conchyliculture par espèce, destination et mode d'élevage (hors naissain)")</f>
        <v>Répartition des ventes en conchyliculture par espèce, destination et mode d'élevage (hors naissain)</v>
      </c>
    </row>
    <row r="25" spans="1:1" x14ac:dyDescent="0.2">
      <c r="A25" s="2" t="str">
        <f>HYPERLINK("#'conchyliculture_ecloserie'!A1", "Production de naissains d'écloserie, par espèce")</f>
        <v>Production de naissains d'écloserie, par espèce</v>
      </c>
    </row>
    <row r="26" spans="1:1" x14ac:dyDescent="0.2">
      <c r="A26" s="2" t="str">
        <f>HYPERLINK("#'conchyliculture_captage'!A1", "Production de naissains de captage par espèce")</f>
        <v>Production de naissains de captage par espèce</v>
      </c>
    </row>
    <row r="27" spans="1:1" x14ac:dyDescent="0.2">
      <c r="A27" s="2" t="str">
        <f>HYPERLINK("#'conchyliculture_claires'!A1", "Ventes à la consommation d'huîtres affinées en claires")</f>
        <v>Ventes à la consommation d'huîtres affinées en claires</v>
      </c>
    </row>
    <row r="28" spans="1:1" ht="25.5" x14ac:dyDescent="0.2">
      <c r="A28" s="2" t="str">
        <f>HYPERLINK("#'conchy_claires_repartition'!A1", "Répartition des entreprises suivant la part de leurs ventes d'huitres qui sont affinées, en volume")</f>
        <v>Répartition des entreprises suivant la part de leurs ventes d'huitres qui sont affinées, en volume</v>
      </c>
    </row>
    <row r="29" spans="1:1" x14ac:dyDescent="0.2">
      <c r="A29" s="3" t="s">
        <v>5</v>
      </c>
    </row>
    <row r="30" spans="1:1" ht="25.5" x14ac:dyDescent="0.2">
      <c r="A30" s="2" t="str">
        <f>HYPERLINK("#'conchyliculture_origine'!A1", "Répartition des volumes de coquillages vendus à la consommation selon l'origine des produits")</f>
        <v>Répartition des volumes de coquillages vendus à la consommation selon l'origine des produits</v>
      </c>
    </row>
    <row r="31" spans="1:1" ht="25.5" x14ac:dyDescent="0.2">
      <c r="A31" s="2" t="str">
        <f>HYPERLINK("#'ostreiculture_origine_region'!A1", "Répartition des volumes d'huîtres creuses vendues à la consommation selon l'origine des produits")</f>
        <v>Répartition des volumes d'huîtres creuses vendues à la consommation selon l'origine des produits</v>
      </c>
    </row>
    <row r="32" spans="1:1" x14ac:dyDescent="0.2">
      <c r="A32" s="2" t="str">
        <f>HYPERLINK("#'conchyliculture_destination'!A1", "Répartition des ventes selon la destination")</f>
        <v>Répartition des ventes selon la destination</v>
      </c>
    </row>
    <row r="33" spans="1:2" x14ac:dyDescent="0.2">
      <c r="A33" s="2" t="str">
        <f>HYPERLINK("#'conchyliculture_qualite'!A1", "Ventes sous marque déposée ou signe officiel de qualité, par région")</f>
        <v>Ventes sous marque déposée ou signe officiel de qualité, par région</v>
      </c>
    </row>
    <row r="34" spans="1:2" x14ac:dyDescent="0.2">
      <c r="A34" s="2" t="str">
        <f>HYPERLINK("#'ostreiculture_qualite'!A1", "Ventes d'huîtres sous marque déposée ou signe officiel de qualité, par région")</f>
        <v>Ventes d'huîtres sous marque déposée ou signe officiel de qualité, par région</v>
      </c>
    </row>
    <row r="35" spans="1:2" x14ac:dyDescent="0.2">
      <c r="A35" s="2" t="str">
        <f>HYPERLINK("#'mytiliculture_qualite'!A1", "Ventes de moules sous marque déposée ou signe officiel de qualité, par région")</f>
        <v>Ventes de moules sous marque déposée ou signe officiel de qualité, par région</v>
      </c>
    </row>
    <row r="36" spans="1:2" x14ac:dyDescent="0.2">
      <c r="A36" s="3" t="s">
        <v>6</v>
      </c>
    </row>
    <row r="37" spans="1:2" x14ac:dyDescent="0.2">
      <c r="A37" s="2" t="str">
        <f>HYPERLINK("#'conchy_siege_lieu'!A1", "Ventes des entreprises conchylicoles par région du siège et par région de production")</f>
        <v>Ventes des entreprises conchylicoles par région du siège et par région de production</v>
      </c>
    </row>
    <row r="38" spans="1:2" x14ac:dyDescent="0.2">
      <c r="A38" s="2" t="str">
        <f>HYPERLINK("#'conchy_lieu_detaille'!A1", "Vente de coquillages selon la localisation de la production, hors écloserie/nurserie")</f>
        <v>Vente de coquillages selon la localisation de la production, hors écloserie/nurserie</v>
      </c>
    </row>
    <row r="40" spans="1:2" ht="15" x14ac:dyDescent="0.2">
      <c r="A40" s="1" t="s">
        <v>7</v>
      </c>
    </row>
    <row r="41" spans="1:2" x14ac:dyDescent="0.2">
      <c r="A41" s="3" t="s">
        <v>8</v>
      </c>
    </row>
    <row r="42" spans="1:2" x14ac:dyDescent="0.2">
      <c r="A42" s="2" t="str">
        <f>HYPERLINK("#'pisciculture_france'!A1", "Ventes à la consommation des piscicultures en 2018, par espèce, hors écloserie / nurserie")</f>
        <v>Ventes à la consommation des piscicultures en 2018, par espèce, hors écloserie / nurserie</v>
      </c>
      <c r="B42" s="604"/>
    </row>
    <row r="43" spans="1:2" ht="25.5" x14ac:dyDescent="0.2">
      <c r="A43" s="2" t="str">
        <f>HYPERLINK("#'pisciculture_region'!A1", "Production de la pisciculture par région du siège de l'entreprise et par espèce, hors écloserie/nurserie")</f>
        <v>Production de la pisciculture par région du siège de l'entreprise et par espèce, hors écloserie/nurserie</v>
      </c>
      <c r="B43" s="604"/>
    </row>
    <row r="44" spans="1:2" x14ac:dyDescent="0.2">
      <c r="A44" s="2" t="str">
        <f>HYPERLINK("#'pisciculture_ecloserie'!A1", "Production des écloseries/nurseries de pisciculture")</f>
        <v>Production des écloseries/nurseries de pisciculture</v>
      </c>
      <c r="B44" s="604"/>
    </row>
    <row r="45" spans="1:2" x14ac:dyDescent="0.2">
      <c r="A45" s="2" t="str">
        <f>HYPERLINK("#'pisciculture_CA_region'!A1", "Chiffre d'affaires de la pisciculture par région (toutes espèces et toutes destinations)")</f>
        <v>Chiffre d'affaires de la pisciculture par région (toutes espèces et toutes destinations)</v>
      </c>
      <c r="B45" s="604"/>
    </row>
    <row r="46" spans="1:2" x14ac:dyDescent="0.2">
      <c r="A46" s="2" t="str">
        <f>HYPERLINK("#'pisciculture_evenements_except'!A1", "Evènements exceptionnels en 2018")</f>
        <v>Evènements exceptionnels en 2018</v>
      </c>
      <c r="B46" s="604"/>
    </row>
    <row r="47" spans="1:2" x14ac:dyDescent="0.2">
      <c r="A47" s="3" t="s">
        <v>9</v>
      </c>
    </row>
    <row r="48" spans="1:2" x14ac:dyDescent="0.2">
      <c r="A48" s="2" t="str">
        <f>HYPERLINK("#'pisci_eau_douce_destination'!A1", "Répartition des volumes vendus en pisciculture en eau douce, par destination")</f>
        <v>Répartition des volumes vendus en pisciculture en eau douce, par destination</v>
      </c>
    </row>
    <row r="49" spans="1:1" x14ac:dyDescent="0.2">
      <c r="A49" s="2" t="str">
        <f>HYPERLINK("#'pisci_marine_destination'!A1", "Répartition des volumes vendus en pisciculture marine, par destination")</f>
        <v>Répartition des volumes vendus en pisciculture marine, par destination</v>
      </c>
    </row>
    <row r="50" spans="1:1" x14ac:dyDescent="0.2">
      <c r="A50" s="2" t="str">
        <f>HYPERLINK("#'pisci_oeufs_destination'!A1", "Répartition des volumes vendus d'oeufs pour la consommation, par destination")</f>
        <v>Répartition des volumes vendus d'oeufs pour la consommation, par destination</v>
      </c>
    </row>
    <row r="51" spans="1:1" x14ac:dyDescent="0.2">
      <c r="A51" s="2" t="str">
        <f>HYPERLINK("#'export_pisciculture'!A1", "Répartition du chiffre d'affaires à l'export")</f>
        <v>Répartition du chiffre d'affaires à l'export</v>
      </c>
    </row>
    <row r="52" spans="1:1" x14ac:dyDescent="0.2">
      <c r="A52" s="2" t="str">
        <f>HYPERLINK("#'pisciculture_calibre'!A1", "Répartition des volumes vendus par calibre")</f>
        <v>Répartition des volumes vendus par calibre</v>
      </c>
    </row>
    <row r="53" spans="1:1" x14ac:dyDescent="0.2">
      <c r="A53" s="2" t="str">
        <f>HYPERLINK("#'pisciculture_selon_transfo'!A1", "Répartition du chiffre d'affaires selon le degré de transformation")</f>
        <v>Répartition du chiffre d'affaires selon le degré de transformation</v>
      </c>
    </row>
    <row r="54" spans="1:1" x14ac:dyDescent="0.2">
      <c r="A54" s="2" t="str">
        <f>HYPERLINK("#'pisciculture_lignee'!A1", "Répartition des volumes vendus selon l'utilisation de lignée sélectionnée")</f>
        <v>Répartition des volumes vendus selon l'utilisation de lignée sélectionnée</v>
      </c>
    </row>
    <row r="55" spans="1:1" x14ac:dyDescent="0.2">
      <c r="A55" s="3" t="s">
        <v>10</v>
      </c>
    </row>
    <row r="56" spans="1:1" x14ac:dyDescent="0.2">
      <c r="A56" s="2" t="str">
        <f>HYPERLINK("#'pisciculture_alimentation'!A1", "Alimentation et indice de conversion")</f>
        <v>Alimentation et indice de conversion</v>
      </c>
    </row>
    <row r="57" spans="1:1" x14ac:dyDescent="0.2">
      <c r="A57" s="3" t="s">
        <v>11</v>
      </c>
    </row>
    <row r="58" spans="1:1" x14ac:dyDescent="0.2">
      <c r="A58" s="2" t="str">
        <f>HYPERLINK("#'pisciculture_statut'!A1", "Répartition des entreprises piscicoles selon leur statut ")</f>
        <v xml:space="preserve">Répartition des entreprises piscicoles selon leur statut </v>
      </c>
    </row>
    <row r="59" spans="1:1" x14ac:dyDescent="0.2">
      <c r="A59" s="2" t="str">
        <f>HYPERLINK("#'pisciculture_site'!A1", "Répartition des entreprises piscicoles selon le nombre de sites exploités")</f>
        <v>Répartition des entreprises piscicoles selon le nombre de sites exploités</v>
      </c>
    </row>
    <row r="60" spans="1:1" x14ac:dyDescent="0.2">
      <c r="A60" s="2" t="str">
        <f>HYPERLINK("#'pisciculture_activite_pincipale'!A1", "Entreprises piscicoles selon l'activité principale déclarée de l'entreprise")</f>
        <v>Entreprises piscicoles selon l'activité principale déclarée de l'entreprise</v>
      </c>
    </row>
    <row r="61" spans="1:1" x14ac:dyDescent="0.2">
      <c r="A61" s="2" t="str">
        <f>HYPERLINK("#'pisci_activite_secondaire'!A1", "Entreprises piscicoles selon leur activité secondaire déclarée")</f>
        <v>Entreprises piscicoles selon leur activité secondaire déclarée</v>
      </c>
    </row>
    <row r="62" spans="1:1" x14ac:dyDescent="0.2">
      <c r="A62" s="2" t="str">
        <f>HYPERLINK("#'pisciculture_compta'!A1", "Répartition des entreprises piscicoles selon leur comptabilité" )</f>
        <v>Répartition des entreprises piscicoles selon leur comptabilité</v>
      </c>
    </row>
    <row r="63" spans="1:1" x14ac:dyDescent="0.2">
      <c r="A63" s="2" t="str">
        <f>HYPERLINK("#'pisciculture_conseil'!A1", "Répartition des entreprises piscicoles selon l'utilisation de prestations")</f>
        <v>Répartition des entreprises piscicoles selon l'utilisation de prestations</v>
      </c>
    </row>
    <row r="64" spans="1:1" x14ac:dyDescent="0.2">
      <c r="A64" s="2" t="str">
        <f>HYPERLINK("#'pisciculture_assurance'!A1", "Répartition des entreprises piscicoles selon les assurances souscrites")</f>
        <v>Répartition des entreprises piscicoles selon les assurances souscrites</v>
      </c>
    </row>
    <row r="65" spans="1:1" x14ac:dyDescent="0.2">
      <c r="A65" s="2" t="str">
        <f>HYPERLINK("#'pisciculture_innovation'!A1", "Part des entreprises piscicoles ayant introduit des innovations entre 2016 et 2018")</f>
        <v>Part des entreprises piscicoles ayant introduit des innovations entre 2016 et 2018</v>
      </c>
    </row>
    <row r="66" spans="1:1" x14ac:dyDescent="0.2">
      <c r="A66" s="3" t="s">
        <v>12</v>
      </c>
    </row>
    <row r="67" spans="1:1" x14ac:dyDescent="0.2">
      <c r="A67" s="2" t="str">
        <f>HYPERLINK("#'pisciculture_AMTI'!A1", "Pratique d'aquaponie ou d'aquaculture multitrophique intégrée")</f>
        <v>Pratique d'aquaponie ou d'aquaculture multitrophique intégrée</v>
      </c>
    </row>
    <row r="68" spans="1:1" x14ac:dyDescent="0.2">
      <c r="A68" s="2" t="str">
        <f>HYPERLINK("#'pisciculture_rejet_entree'!A1", "Gestion des rejets : équipements à l'entrée des sites")</f>
        <v>Gestion des rejets : équipements à l'entrée des sites</v>
      </c>
    </row>
    <row r="69" spans="1:1" x14ac:dyDescent="0.2">
      <c r="A69" s="2" t="str">
        <f>HYPERLINK("#'pisciculture_rejet_traitement'!A1", "Gestion des rejets : équipements de traitement des rejets")</f>
        <v>Gestion des rejets : équipements de traitement des rejets</v>
      </c>
    </row>
    <row r="70" spans="1:1" x14ac:dyDescent="0.2">
      <c r="A70" s="2" t="str">
        <f>HYPERLINK("#'pisciculture_rejet_boue'!A1", "Gestion des rejets : devenir des boues recueillies")</f>
        <v>Gestion des rejets : devenir des boues recueillies</v>
      </c>
    </row>
    <row r="71" spans="1:1" x14ac:dyDescent="0.2">
      <c r="A71" s="2" t="str">
        <f>HYPERLINK("#'pisciculture_recircule'!A1", "Utilisation de système recirculé")</f>
        <v>Utilisation de système recirculé</v>
      </c>
    </row>
    <row r="72" spans="1:1" x14ac:dyDescent="0.2">
      <c r="A72" s="2" t="str">
        <f>HYPERLINK("#'pisciculture_predation'!A1", "Protection face à la prédation aviaire")</f>
        <v>Protection face à la prédation aviaire</v>
      </c>
    </row>
    <row r="73" spans="1:1" x14ac:dyDescent="0.2">
      <c r="A73" s="2" t="str">
        <f>HYPERLINK("#'pisciculture_distri_aliments'!A1", "Distribution des aliments")</f>
        <v>Distribution des aliments</v>
      </c>
    </row>
    <row r="74" spans="1:1" x14ac:dyDescent="0.2">
      <c r="A74" s="2" t="str">
        <f>HYPERLINK("#'pisciculture_oxygene'!A1", "Equipements d'oxygénation")</f>
        <v>Equipements d'oxygénation</v>
      </c>
    </row>
    <row r="75" spans="1:1" x14ac:dyDescent="0.2">
      <c r="A75" s="2" t="str">
        <f>HYPERLINK("#'pisciculture_aeration'!A1", "Pratiques d'aération")</f>
        <v>Pratiques d'aération</v>
      </c>
    </row>
    <row r="76" spans="1:1" x14ac:dyDescent="0.2">
      <c r="A76" s="2" t="str">
        <f>HYPERLINK("#'pisciculture_manipulation'!A1", "Matériel de manipulation des poissons")</f>
        <v>Matériel de manipulation des poissons</v>
      </c>
    </row>
    <row r="77" spans="1:1" x14ac:dyDescent="0.2">
      <c r="A77" s="2" t="str">
        <f>HYPERLINK("#'pisciculture_passes_poissons'!A1", "Utilisation de passes à poissons")</f>
        <v>Utilisation de passes à poissons</v>
      </c>
    </row>
    <row r="78" spans="1:1" x14ac:dyDescent="0.2">
      <c r="A78" s="2" t="str">
        <f>HYPERLINK("#'pisciculture_abattage'!A1", "Pratiques d'abattage")</f>
        <v>Pratiques d'abattage</v>
      </c>
    </row>
    <row r="79" spans="1:1" x14ac:dyDescent="0.2">
      <c r="A79" s="2" t="str">
        <f>HYPERLINK("#'pisciculture_navire'!A1", "Navires utilisées pour la pisciculture marine")</f>
        <v>Navires utilisées pour la pisciculture marine</v>
      </c>
    </row>
    <row r="80" spans="1:1" x14ac:dyDescent="0.2">
      <c r="A80" s="3" t="s">
        <v>930</v>
      </c>
    </row>
    <row r="81" spans="1:1" x14ac:dyDescent="0.2">
      <c r="A81" s="2" t="str">
        <f>HYPERLINK("#'pisciculture_sites_bio'!A1", "Sites certifiés en Bio")</f>
        <v>Sites certifiés en Bio</v>
      </c>
    </row>
    <row r="82" spans="1:1" x14ac:dyDescent="0.2">
      <c r="A82" s="2" t="str">
        <f>HYPERLINK("#'pisciculture_qualite'!A1", "Part de la production en démarches-qualité ou sous marque déposée")</f>
        <v>Part de la production en démarches-qualité ou sous marque déposée</v>
      </c>
    </row>
    <row r="83" spans="1:1" x14ac:dyDescent="0.2">
      <c r="A83" s="2" t="str">
        <f>HYPERLINK("#'pisciculture_qualite_systeme'!A1", "Démarche qualité système")</f>
        <v>Démarche qualité système</v>
      </c>
    </row>
    <row r="84" spans="1:1" x14ac:dyDescent="0.2">
      <c r="A84" s="2" t="str">
        <f>HYPERLINK("#'pisciculture_traitement_eau'!A1", "Utilisation de produits de traitement de l'eau, de vaccins et d'antibiotiques")</f>
        <v>Utilisation de produits de traitement de l'eau, de vaccins et d'antibiotiques</v>
      </c>
    </row>
    <row r="85" spans="1:1" x14ac:dyDescent="0.2">
      <c r="A85" s="2" t="str">
        <f>HYPERLINK("#'pisciculture_autor_agrement'!A1", "Autorisations et agréments des sites")</f>
        <v>Autorisations et agréments des sites</v>
      </c>
    </row>
    <row r="86" spans="1:1" x14ac:dyDescent="0.2">
      <c r="A86" s="3" t="s">
        <v>17</v>
      </c>
    </row>
    <row r="87" spans="1:1" ht="25.5" x14ac:dyDescent="0.2">
      <c r="A87" s="2" t="str">
        <f>HYPERLINK("#'pisciculture_transmission'!A1", "Projet de transmission ou de cessation d'activité d'entreprises piscicoles dans les cinq prochaines années")</f>
        <v>Projet de transmission ou de cessation d'activité d'entreprises piscicoles dans les cinq prochaines années</v>
      </c>
    </row>
    <row r="89" spans="1:1" ht="15" x14ac:dyDescent="0.2">
      <c r="A89" s="1" t="s">
        <v>15</v>
      </c>
    </row>
    <row r="90" spans="1:1" x14ac:dyDescent="0.2">
      <c r="A90" s="3" t="s">
        <v>931</v>
      </c>
    </row>
    <row r="91" spans="1:1" x14ac:dyDescent="0.2">
      <c r="A91" s="2" t="str">
        <f>HYPERLINK("#'algoculture_espece_adulte'!A1", "Production en culture d'algues et de cyanobactéries, en 2018, hors production de semence")</f>
        <v>Production en culture d'algues et de cyanobactéries, en 2018, hors production de semence</v>
      </c>
    </row>
    <row r="92" spans="1:1" ht="25.5" x14ac:dyDescent="0.2">
      <c r="A92" s="2" t="str">
        <f>HYPERLINK("#'algoculture_region_adulte'!A1", "Production en culture d'algues et de cyanobactéries, en 2018, par région, hors production de semence")</f>
        <v>Production en culture d'algues et de cyanobactéries, en 2018, par région, hors production de semence</v>
      </c>
    </row>
    <row r="93" spans="1:1" x14ac:dyDescent="0.2">
      <c r="A93" s="2" t="str">
        <f>HYPERLINK("#'algoculture_evenements_except'!A1", "Evènements exceptionnels en 2018")</f>
        <v>Evènements exceptionnels en 2018</v>
      </c>
    </row>
    <row r="94" spans="1:1" x14ac:dyDescent="0.2">
      <c r="A94" s="3" t="str">
        <f>HYPERLINK("#'NA'!A1", "Répartition des productions de la culture d'algues et de cyanobactéries")</f>
        <v>Répartition des productions de la culture d'algues et de cyanobactéries</v>
      </c>
    </row>
    <row r="95" spans="1:1" x14ac:dyDescent="0.2">
      <c r="A95" s="2" t="s">
        <v>932</v>
      </c>
    </row>
    <row r="96" spans="1:1" x14ac:dyDescent="0.2">
      <c r="A96" s="2" t="str">
        <f>HYPERLINK("#'algoculture_selon_destination'!A1", "Répartition des volumes vendus selon la destination")</f>
        <v>Répartition des volumes vendus selon la destination</v>
      </c>
    </row>
    <row r="97" spans="1:1" x14ac:dyDescent="0.2">
      <c r="A97" s="2" t="str">
        <f>HYPERLINK("#'algoculture_selon_export'!A1", "Répartition du chiffre d'affaires selon le pays de destination")</f>
        <v>Répartition du chiffre d'affaires selon le pays de destination</v>
      </c>
    </row>
    <row r="98" spans="1:1" x14ac:dyDescent="0.2">
      <c r="A98" s="2" t="str">
        <f>HYPERLINK("#'algoculture_selon_qualite'!A1", "Volumes vendus sous une démarche qualité")</f>
        <v>Volumes vendus sous une démarche qualité</v>
      </c>
    </row>
    <row r="99" spans="1:1" x14ac:dyDescent="0.2">
      <c r="A99" s="3" t="s">
        <v>11</v>
      </c>
    </row>
    <row r="100" spans="1:1" x14ac:dyDescent="0.2">
      <c r="A100" s="2" t="str">
        <f>HYPERLINK("#'algoculture_statut'!A1", "Répartition des entreprises de culture d'algues et de cyanobactéries selon leur statut ")</f>
        <v xml:space="preserve">Répartition des entreprises de culture d'algues et de cyanobactéries selon leur statut </v>
      </c>
    </row>
    <row r="101" spans="1:1" ht="25.5" x14ac:dyDescent="0.2">
      <c r="A101" s="2" t="str">
        <f>HYPERLINK("#'algoculture_site'!A1", "Répartition des entreprises de culture d'algues et de cyanobactéries selon le nombre de sites exploités")</f>
        <v>Répartition des entreprises de culture d'algues et de cyanobactéries selon le nombre de sites exploités</v>
      </c>
    </row>
    <row r="102" spans="1:1" x14ac:dyDescent="0.2">
      <c r="A102" s="2" t="str">
        <f>HYPERLINK("#'algoculture_activite_pincipale'!A1", "Entreprises de culture d'algues et de cyanobactéries selon leur activité principale déclarée")</f>
        <v>Entreprises de culture d'algues et de cyanobactéries selon leur activité principale déclarée</v>
      </c>
    </row>
    <row r="103" spans="1:1" x14ac:dyDescent="0.2">
      <c r="A103" s="2" t="str">
        <f>HYPERLINK("#'algoculture_activite_secondaire'!A1", "Entreprises de culture d'algues et de cyanobactéries selon leur activité secondaire")</f>
        <v>Entreprises de culture d'algues et de cyanobactéries selon leur activité secondaire</v>
      </c>
    </row>
    <row r="104" spans="1:1" x14ac:dyDescent="0.2">
      <c r="A104" s="2" t="str">
        <f>HYPERLINK("#'algoculture_compta'!A1", "Répartition des entreprises de culture d'algues et de cyanobactéries selon leur comptabilité ")</f>
        <v xml:space="preserve">Répartition des entreprises de culture d'algues et de cyanobactéries selon leur comptabilité </v>
      </c>
    </row>
    <row r="105" spans="1:1" ht="25.5" x14ac:dyDescent="0.2">
      <c r="A105" s="2" t="str">
        <f>HYPERLINK("#'algoculture_conseil'!A1", "Répartition des entreprises de culture d'algues et de cyanobactéries selon l'utilisation de prestations")</f>
        <v>Répartition des entreprises de culture d'algues et de cyanobactéries selon l'utilisation de prestations</v>
      </c>
    </row>
    <row r="106" spans="1:1" ht="25.5" x14ac:dyDescent="0.2">
      <c r="A106" s="2" t="str">
        <f>HYPERLINK("#'algoculture_assurance'!A1", "Répartition des entreprises de culture d'algues et de cyanobactéries selon les assurances souscrites")</f>
        <v>Répartition des entreprises de culture d'algues et de cyanobactéries selon les assurances souscrites</v>
      </c>
    </row>
    <row r="107" spans="1:1" ht="25.5" x14ac:dyDescent="0.2">
      <c r="A107" s="2" t="str">
        <f>HYPERLINK("#'algoculture_innovation'!A1", "Part des entreprises de culture d'algues et de cyanobactéries ayant introduit des innovations entre 2016 et 2018")</f>
        <v>Part des entreprises de culture d'algues et de cyanobactéries ayant introduit des innovations entre 2016 et 2018</v>
      </c>
    </row>
    <row r="108" spans="1:1" x14ac:dyDescent="0.2">
      <c r="A108" s="3" t="s">
        <v>12</v>
      </c>
    </row>
    <row r="109" spans="1:1" ht="25.5" x14ac:dyDescent="0.2">
      <c r="A109" s="2" t="str">
        <f>HYPERLINK("#'algoculture_AMTI'!A1", "Part des entreprises de culture d'algues et de cyanobactéries pratiquant l'aquaculture multitrophique intégrée")</f>
        <v>Part des entreprises de culture d'algues et de cyanobactéries pratiquant l'aquaculture multitrophique intégrée</v>
      </c>
    </row>
    <row r="110" spans="1:1" ht="25.5" x14ac:dyDescent="0.2">
      <c r="A110" s="2" t="str">
        <f>HYPERLINK("#'algoculture_rejet'!A1", "Répartition des entreprises de culture d'algues et de cyanobactéries suivant leurs pratiques de traitement des rejets")</f>
        <v>Répartition des entreprises de culture d'algues et de cyanobactéries suivant leurs pratiques de traitement des rejets</v>
      </c>
    </row>
    <row r="111" spans="1:1" ht="25.5" x14ac:dyDescent="0.2">
      <c r="A111" s="2" t="str">
        <f>HYPERLINK("#'algoculture_energie'!A1", "Répartition des entreprises de culture d'algues et de cyanobactéries suivant leur utilisation d'energie")</f>
        <v>Répartition des entreprises de culture d'algues et de cyanobactéries suivant leur utilisation d'energie</v>
      </c>
    </row>
    <row r="112" spans="1:1" x14ac:dyDescent="0.2">
      <c r="A112" s="2" t="str">
        <f>HYPERLINK("#'algoculture_navire'!A1", "Navires utilisés pour la culture de macro-algues")</f>
        <v>Navires utilisés pour la culture de macro-algues</v>
      </c>
    </row>
    <row r="113" spans="1:1" x14ac:dyDescent="0.2">
      <c r="A113" s="3" t="s">
        <v>17</v>
      </c>
    </row>
    <row r="114" spans="1:1" ht="25.5" x14ac:dyDescent="0.2">
      <c r="A114" s="2" t="str">
        <f>HYPERLINK("#'algoculture_transmission'!A1", "Projet de transmission ou de cessation d'activité d'entreprises de la culture d'algues et de cyanobactéries dans les cinq prochaines années")</f>
        <v>Projet de transmission ou de cessation d'activité d'entreprises de la culture d'algues et de cyanobactéries dans les cinq prochaines années</v>
      </c>
    </row>
  </sheetData>
  <mergeCells count="1">
    <mergeCell ref="C1:G3"/>
  </mergeCells>
  <hyperlinks>
    <hyperlink ref="A95" location="algoculture_selon_transfo!A1" display="Répartition du chiffre d'affaires selon le degré de transformation"/>
  </hyperlinks>
  <pageMargins left="0.6" right="0.79" top="0.79" bottom="1.06" header="0.3" footer="0.3"/>
  <pageSetup paperSize="9" fitToWidth="0" fitToHeight="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G1" sqref="G1:I2"/>
    </sheetView>
  </sheetViews>
  <sheetFormatPr baseColWidth="10" defaultColWidth="9.140625" defaultRowHeight="12.75" x14ac:dyDescent="0.2"/>
  <cols>
    <col min="1" max="1" width="40.7109375" customWidth="1"/>
    <col min="2" max="2" width="13.7109375" customWidth="1"/>
    <col min="3" max="5" width="10.7109375" customWidth="1"/>
  </cols>
  <sheetData>
    <row r="1" spans="1:9" ht="39" customHeight="1" x14ac:dyDescent="0.2">
      <c r="A1" s="612" t="s">
        <v>18</v>
      </c>
      <c r="B1" s="609"/>
      <c r="C1" s="609"/>
      <c r="D1" s="609"/>
      <c r="E1" s="609"/>
      <c r="G1" s="611" t="str">
        <f>HYPERLINK("#'sommaire'!A1", "Retour sommaire")</f>
        <v>Retour sommaire</v>
      </c>
      <c r="H1" s="609"/>
      <c r="I1" s="609"/>
    </row>
    <row r="2" spans="1:9" x14ac:dyDescent="0.2">
      <c r="G2" s="609"/>
      <c r="H2" s="609"/>
      <c r="I2" s="609"/>
    </row>
    <row r="3" spans="1:9" ht="25.5" x14ac:dyDescent="0.2">
      <c r="A3" s="4" t="s">
        <v>19</v>
      </c>
      <c r="B3" s="4" t="s">
        <v>20</v>
      </c>
      <c r="C3" s="4" t="s">
        <v>21</v>
      </c>
      <c r="D3" s="4" t="s">
        <v>22</v>
      </c>
      <c r="E3" s="4" t="s">
        <v>23</v>
      </c>
    </row>
    <row r="4" spans="1:9" ht="25.5" x14ac:dyDescent="0.2">
      <c r="A4" s="5"/>
      <c r="B4" s="5" t="s">
        <v>24</v>
      </c>
      <c r="C4" s="5" t="s">
        <v>25</v>
      </c>
      <c r="D4" s="5" t="s">
        <v>26</v>
      </c>
      <c r="E4" s="5" t="s">
        <v>27</v>
      </c>
    </row>
    <row r="5" spans="1:9" x14ac:dyDescent="0.2">
      <c r="A5" s="7" t="s">
        <v>28</v>
      </c>
      <c r="B5" s="9">
        <v>2295</v>
      </c>
      <c r="C5" s="11">
        <v>145129.73592381601</v>
      </c>
      <c r="D5" s="13">
        <v>497569.51019209099</v>
      </c>
      <c r="E5" s="15">
        <v>3.42844632786547</v>
      </c>
    </row>
    <row r="6" spans="1:9" x14ac:dyDescent="0.2">
      <c r="A6" s="8" t="s">
        <v>29</v>
      </c>
      <c r="B6" s="10">
        <v>2036</v>
      </c>
      <c r="C6" s="12">
        <v>92946.637770332207</v>
      </c>
      <c r="D6" s="14">
        <v>380030.79829083802</v>
      </c>
      <c r="E6" s="16">
        <v>4.0886987136627901</v>
      </c>
    </row>
    <row r="7" spans="1:9" x14ac:dyDescent="0.2">
      <c r="A7" s="8" t="s">
        <v>30</v>
      </c>
      <c r="B7" s="10">
        <v>639</v>
      </c>
      <c r="C7" s="12">
        <v>48843.857620231996</v>
      </c>
      <c r="D7" s="14">
        <v>101061.85124276701</v>
      </c>
      <c r="E7" s="16">
        <v>2.06908004745525</v>
      </c>
    </row>
    <row r="8" spans="1:9" ht="25.5" x14ac:dyDescent="0.2">
      <c r="A8" s="8" t="s">
        <v>31</v>
      </c>
      <c r="B8" s="10">
        <v>223</v>
      </c>
      <c r="C8" s="12">
        <v>3295.0025332515902</v>
      </c>
      <c r="D8" s="14">
        <v>15508.6076584862</v>
      </c>
      <c r="E8" s="16">
        <v>4.7067058376983804</v>
      </c>
    </row>
    <row r="9" spans="1:9" x14ac:dyDescent="0.2">
      <c r="A9" s="8" t="s">
        <v>32</v>
      </c>
      <c r="B9" s="10">
        <v>58</v>
      </c>
      <c r="C9" s="12">
        <v>44.238</v>
      </c>
      <c r="D9" s="14">
        <v>968.25300000000004</v>
      </c>
      <c r="E9" s="16">
        <v>21.8873592838736</v>
      </c>
    </row>
    <row r="10" spans="1:9" x14ac:dyDescent="0.2">
      <c r="A10" s="7" t="s">
        <v>33</v>
      </c>
      <c r="B10" s="9">
        <v>564</v>
      </c>
      <c r="C10" s="11">
        <v>43163.273699999998</v>
      </c>
      <c r="D10" s="13">
        <v>209573.23597216301</v>
      </c>
      <c r="E10" s="15">
        <v>4.8553600783103503</v>
      </c>
    </row>
    <row r="11" spans="1:9" x14ac:dyDescent="0.2">
      <c r="A11" s="8" t="s">
        <v>34</v>
      </c>
      <c r="B11" s="10">
        <v>320</v>
      </c>
      <c r="C11" s="12">
        <v>34563.679300000003</v>
      </c>
      <c r="D11" s="14">
        <v>128153.18030549699</v>
      </c>
      <c r="E11" s="16">
        <v>3.7077412735251398</v>
      </c>
    </row>
    <row r="12" spans="1:9" ht="25.5" x14ac:dyDescent="0.2">
      <c r="A12" s="8" t="s">
        <v>35</v>
      </c>
      <c r="B12" s="10">
        <v>45</v>
      </c>
      <c r="C12" s="12">
        <v>116.7324</v>
      </c>
      <c r="D12" s="14">
        <v>2182.3910000000001</v>
      </c>
      <c r="E12" s="16">
        <v>18.6956748940311</v>
      </c>
    </row>
    <row r="13" spans="1:9" ht="25.5" x14ac:dyDescent="0.2">
      <c r="A13" s="8" t="s">
        <v>922</v>
      </c>
      <c r="B13" s="10">
        <v>7</v>
      </c>
      <c r="C13" s="12">
        <v>409.03</v>
      </c>
      <c r="D13" s="14">
        <v>1769.318</v>
      </c>
      <c r="E13" s="16">
        <v>4.3256435958242703</v>
      </c>
    </row>
    <row r="14" spans="1:9" x14ac:dyDescent="0.2">
      <c r="A14" s="8" t="s">
        <v>36</v>
      </c>
      <c r="B14" s="10">
        <v>8</v>
      </c>
      <c r="C14" s="12">
        <v>39.863999999999997</v>
      </c>
      <c r="D14" s="14">
        <v>23537.178</v>
      </c>
      <c r="E14" s="16">
        <v>590.43693558097505</v>
      </c>
    </row>
    <row r="15" spans="1:9" x14ac:dyDescent="0.2">
      <c r="A15" s="8" t="s">
        <v>37</v>
      </c>
      <c r="B15" s="10">
        <v>213</v>
      </c>
      <c r="C15" s="12">
        <v>3591.5439999999999</v>
      </c>
      <c r="D15" s="14">
        <v>13399.867</v>
      </c>
      <c r="E15" s="16">
        <v>3.7309488621049902</v>
      </c>
    </row>
    <row r="16" spans="1:9" x14ac:dyDescent="0.2">
      <c r="A16" s="8" t="s">
        <v>38</v>
      </c>
      <c r="B16" s="10">
        <v>29</v>
      </c>
      <c r="C16" s="12">
        <v>4442.424</v>
      </c>
      <c r="D16" s="14">
        <v>40531.301666666703</v>
      </c>
      <c r="E16" s="16">
        <v>9.1236905047034398</v>
      </c>
    </row>
    <row r="17" spans="1:6" x14ac:dyDescent="0.2">
      <c r="A17" s="7" t="s">
        <v>39</v>
      </c>
      <c r="B17" s="9">
        <v>159</v>
      </c>
      <c r="C17" s="11">
        <v>188.14859999999999</v>
      </c>
      <c r="D17" s="13">
        <v>8914.4789999999994</v>
      </c>
      <c r="E17" s="15">
        <v>47.379991134667002</v>
      </c>
    </row>
    <row r="18" spans="1:6" x14ac:dyDescent="0.2">
      <c r="A18" s="8" t="s">
        <v>40</v>
      </c>
      <c r="B18" s="10">
        <v>147</v>
      </c>
      <c r="C18" s="12">
        <v>63.463000000000001</v>
      </c>
      <c r="D18" s="14">
        <v>7599.9660000000003</v>
      </c>
      <c r="E18" s="16">
        <v>119.754282022596</v>
      </c>
    </row>
    <row r="19" spans="1:6" x14ac:dyDescent="0.2">
      <c r="A19" s="8" t="s">
        <v>41</v>
      </c>
      <c r="B19" s="10">
        <v>14</v>
      </c>
      <c r="C19" s="12">
        <v>124.68559999999999</v>
      </c>
      <c r="D19" s="14">
        <v>1314.5129999999999</v>
      </c>
      <c r="E19" s="16">
        <v>10.542620799835699</v>
      </c>
    </row>
    <row r="20" spans="1:6" x14ac:dyDescent="0.2">
      <c r="A20" s="591" t="s">
        <v>963</v>
      </c>
      <c r="B20" s="576">
        <v>3005</v>
      </c>
      <c r="C20" s="576">
        <f>C17+C10+C5</f>
        <v>188481.15822381602</v>
      </c>
      <c r="D20" s="576">
        <f>D17+D10+D5</f>
        <v>716057.22516425396</v>
      </c>
      <c r="E20" s="474">
        <f>D20/C20</f>
        <v>3.7990918132726899</v>
      </c>
      <c r="F20" s="572"/>
    </row>
    <row r="21" spans="1:6" x14ac:dyDescent="0.2">
      <c r="A21" s="608" t="s">
        <v>42</v>
      </c>
      <c r="B21" s="609"/>
      <c r="C21" s="609"/>
      <c r="D21" s="609"/>
      <c r="E21" s="609"/>
    </row>
    <row r="22" spans="1:6" x14ac:dyDescent="0.2">
      <c r="A22" s="608" t="s">
        <v>43</v>
      </c>
      <c r="B22" s="609"/>
      <c r="C22" s="609"/>
      <c r="D22" s="609"/>
      <c r="E22" s="609"/>
    </row>
    <row r="23" spans="1:6" ht="12.75" customHeight="1" x14ac:dyDescent="0.2">
      <c r="A23" s="608" t="s">
        <v>44</v>
      </c>
      <c r="B23" s="609"/>
      <c r="C23" s="609"/>
      <c r="D23" s="609"/>
      <c r="E23" s="609"/>
    </row>
    <row r="24" spans="1:6" x14ac:dyDescent="0.2">
      <c r="A24" s="608" t="s">
        <v>920</v>
      </c>
      <c r="B24" s="609"/>
      <c r="C24" s="609"/>
      <c r="D24" s="609"/>
      <c r="E24" s="609"/>
    </row>
    <row r="25" spans="1:6" ht="30.75" customHeight="1" x14ac:dyDescent="0.2">
      <c r="A25" s="608" t="s">
        <v>45</v>
      </c>
      <c r="B25" s="609"/>
      <c r="C25" s="609"/>
      <c r="D25" s="609"/>
      <c r="E25" s="609"/>
    </row>
    <row r="26" spans="1:6" ht="30" customHeight="1" x14ac:dyDescent="0.2">
      <c r="A26" s="608" t="s">
        <v>921</v>
      </c>
      <c r="B26" s="609"/>
      <c r="C26" s="609"/>
      <c r="D26" s="609"/>
      <c r="E26" s="609"/>
    </row>
    <row r="27" spans="1:6" x14ac:dyDescent="0.2">
      <c r="A27" s="610" t="s">
        <v>46</v>
      </c>
      <c r="B27" s="609"/>
      <c r="C27" s="609"/>
      <c r="D27" s="609"/>
      <c r="E27" s="609"/>
    </row>
  </sheetData>
  <mergeCells count="9">
    <mergeCell ref="A24:E24"/>
    <mergeCell ref="A25:E25"/>
    <mergeCell ref="A26:E26"/>
    <mergeCell ref="A27:E27"/>
    <mergeCell ref="G1:I2"/>
    <mergeCell ref="A1:E1"/>
    <mergeCell ref="A21:E21"/>
    <mergeCell ref="A22:E22"/>
    <mergeCell ref="A23:E23"/>
  </mergeCells>
  <pageMargins left="0.6" right="0.79" top="0.79" bottom="1.06" header="0.3" footer="0.3"/>
  <pageSetup paperSize="9" fitToWidth="0" fitToHeight="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1" sqref="I1:K2"/>
    </sheetView>
  </sheetViews>
  <sheetFormatPr baseColWidth="10" defaultColWidth="9.140625" defaultRowHeight="12.75" x14ac:dyDescent="0.2"/>
  <cols>
    <col min="1" max="1" width="17.7109375" customWidth="1"/>
    <col min="2" max="2" width="23.7109375" customWidth="1"/>
    <col min="3" max="5" width="7.7109375" customWidth="1"/>
    <col min="6" max="7" width="11.7109375" customWidth="1"/>
  </cols>
  <sheetData>
    <row r="1" spans="1:11" ht="15" customHeight="1" x14ac:dyDescent="0.2">
      <c r="A1" s="612" t="s">
        <v>47</v>
      </c>
      <c r="B1" s="609"/>
      <c r="C1" s="609"/>
      <c r="D1" s="609"/>
      <c r="E1" s="609"/>
      <c r="F1" s="609"/>
      <c r="G1" s="609"/>
      <c r="I1" s="611" t="str">
        <f>HYPERLINK("#'sommaire'!A1", "Retour sommaire")</f>
        <v>Retour sommaire</v>
      </c>
      <c r="J1" s="609"/>
      <c r="K1" s="609"/>
    </row>
    <row r="2" spans="1:11" x14ac:dyDescent="0.2">
      <c r="I2" s="609"/>
      <c r="J2" s="609"/>
      <c r="K2" s="609"/>
    </row>
    <row r="3" spans="1:11" ht="25.5" x14ac:dyDescent="0.2">
      <c r="A3" s="4" t="s">
        <v>48</v>
      </c>
      <c r="B3" s="4" t="s">
        <v>19</v>
      </c>
      <c r="C3" s="4" t="s">
        <v>49</v>
      </c>
      <c r="D3" s="4" t="s">
        <v>50</v>
      </c>
      <c r="E3" s="4">
        <v>2018</v>
      </c>
      <c r="F3" s="4" t="s">
        <v>967</v>
      </c>
      <c r="G3" s="4" t="s">
        <v>968</v>
      </c>
    </row>
    <row r="4" spans="1:11" x14ac:dyDescent="0.2">
      <c r="A4" s="613"/>
      <c r="B4" s="613"/>
      <c r="C4" s="613" t="s">
        <v>51</v>
      </c>
      <c r="D4" s="613" t="s">
        <v>51</v>
      </c>
      <c r="E4" s="613" t="s">
        <v>51</v>
      </c>
      <c r="F4" s="5" t="s">
        <v>52</v>
      </c>
      <c r="G4" s="5" t="s">
        <v>52</v>
      </c>
    </row>
    <row r="5" spans="1:11" x14ac:dyDescent="0.2">
      <c r="A5" s="614" t="s">
        <v>53</v>
      </c>
      <c r="B5" s="17" t="s">
        <v>29</v>
      </c>
      <c r="C5" s="18">
        <v>340.53100000000001</v>
      </c>
      <c r="D5" s="19">
        <v>389.12099999999998</v>
      </c>
      <c r="E5" s="20">
        <v>380.03079829083799</v>
      </c>
      <c r="F5" s="21">
        <v>11.599472086487999</v>
      </c>
      <c r="G5" s="22">
        <v>-2.33608612980581</v>
      </c>
    </row>
    <row r="6" spans="1:11" x14ac:dyDescent="0.2">
      <c r="A6" s="614" t="s">
        <v>53</v>
      </c>
      <c r="B6" s="17" t="s">
        <v>30</v>
      </c>
      <c r="C6" s="18">
        <v>142.738</v>
      </c>
      <c r="D6" s="19">
        <v>131.73400000000001</v>
      </c>
      <c r="E6" s="20">
        <v>101.06185124276701</v>
      </c>
      <c r="F6" s="21">
        <v>-29.197654974311799</v>
      </c>
      <c r="G6" s="22">
        <v>-23.2833959017665</v>
      </c>
    </row>
    <row r="7" spans="1:11" ht="25.5" x14ac:dyDescent="0.2">
      <c r="A7" s="614" t="s">
        <v>53</v>
      </c>
      <c r="B7" s="17" t="s">
        <v>969</v>
      </c>
      <c r="C7" s="18">
        <v>14.002000000000001</v>
      </c>
      <c r="D7" s="19">
        <v>13.398999999999999</v>
      </c>
      <c r="E7" s="20">
        <v>16.476860658486199</v>
      </c>
      <c r="F7" s="21">
        <v>17.675051124740801</v>
      </c>
      <c r="G7" s="22">
        <v>22.970823632257702</v>
      </c>
    </row>
    <row r="8" spans="1:11" ht="25.5" x14ac:dyDescent="0.2">
      <c r="A8" s="614" t="s">
        <v>55</v>
      </c>
      <c r="B8" s="17" t="s">
        <v>56</v>
      </c>
      <c r="C8" s="18">
        <v>118.986</v>
      </c>
      <c r="D8" s="19">
        <v>107.491</v>
      </c>
      <c r="E8" s="20">
        <v>130.33557130549701</v>
      </c>
      <c r="F8" s="21">
        <v>9.5385770641055103</v>
      </c>
      <c r="G8" s="22">
        <v>21.252543287807001</v>
      </c>
    </row>
    <row r="9" spans="1:11" ht="38.25" x14ac:dyDescent="0.2">
      <c r="A9" s="614" t="s">
        <v>55</v>
      </c>
      <c r="B9" s="17" t="s">
        <v>57</v>
      </c>
      <c r="C9" s="18">
        <v>10.959</v>
      </c>
      <c r="D9" s="19">
        <v>15.682</v>
      </c>
      <c r="E9" s="20">
        <v>25.306495999999999</v>
      </c>
      <c r="F9" s="21">
        <v>130.91975545214001</v>
      </c>
      <c r="G9" s="22">
        <v>61.372886111465398</v>
      </c>
    </row>
    <row r="10" spans="1:11" x14ac:dyDescent="0.2">
      <c r="A10" s="614" t="s">
        <v>55</v>
      </c>
      <c r="B10" s="17" t="s">
        <v>37</v>
      </c>
      <c r="C10" s="18">
        <v>13.316000000000001</v>
      </c>
      <c r="D10" s="19">
        <v>13.691000000000001</v>
      </c>
      <c r="E10" s="20">
        <v>13.399867</v>
      </c>
      <c r="F10" s="21">
        <v>0.62982126764794</v>
      </c>
      <c r="G10" s="22">
        <v>-2.12645533562194</v>
      </c>
    </row>
    <row r="11" spans="1:11" x14ac:dyDescent="0.2">
      <c r="A11" s="614" t="s">
        <v>55</v>
      </c>
      <c r="B11" s="17" t="s">
        <v>38</v>
      </c>
      <c r="C11" s="18">
        <v>46.612000000000002</v>
      </c>
      <c r="D11" s="19">
        <v>35.823999999999998</v>
      </c>
      <c r="E11" s="20">
        <v>40.5313016666667</v>
      </c>
      <c r="F11" s="21">
        <v>-13.0453495523327</v>
      </c>
      <c r="G11" s="22">
        <v>13.140078345987799</v>
      </c>
    </row>
    <row r="12" spans="1:11" ht="30" customHeight="1" x14ac:dyDescent="0.2">
      <c r="A12" s="17" t="s">
        <v>58</v>
      </c>
      <c r="B12" s="17" t="s">
        <v>59</v>
      </c>
      <c r="C12" s="18" t="s">
        <v>60</v>
      </c>
      <c r="D12" s="19" t="s">
        <v>60</v>
      </c>
      <c r="E12" s="20">
        <v>8.914479</v>
      </c>
      <c r="F12" s="21" t="s">
        <v>60</v>
      </c>
      <c r="G12" s="22" t="s">
        <v>60</v>
      </c>
    </row>
    <row r="13" spans="1:11" s="572" customFormat="1" ht="30" customHeight="1" x14ac:dyDescent="0.2">
      <c r="A13" s="588"/>
      <c r="B13" s="588"/>
      <c r="C13" s="589"/>
      <c r="D13" s="589"/>
      <c r="E13" s="589"/>
      <c r="F13" s="590"/>
      <c r="G13" s="590"/>
    </row>
    <row r="14" spans="1:11" ht="15" customHeight="1" x14ac:dyDescent="0.2">
      <c r="A14" s="608" t="s">
        <v>42</v>
      </c>
      <c r="B14" s="609"/>
      <c r="C14" s="609"/>
      <c r="D14" s="609"/>
      <c r="E14" s="609"/>
      <c r="F14" s="609"/>
      <c r="G14" s="609"/>
    </row>
    <row r="15" spans="1:11" ht="15" customHeight="1" x14ac:dyDescent="0.2">
      <c r="A15" s="608" t="s">
        <v>61</v>
      </c>
      <c r="B15" s="609"/>
      <c r="C15" s="609"/>
      <c r="D15" s="609"/>
      <c r="E15" s="609"/>
      <c r="F15" s="609"/>
      <c r="G15" s="609"/>
    </row>
    <row r="16" spans="1:11" ht="15" customHeight="1" x14ac:dyDescent="0.2">
      <c r="A16" s="610" t="s">
        <v>62</v>
      </c>
      <c r="B16" s="609"/>
      <c r="C16" s="609"/>
      <c r="D16" s="609"/>
      <c r="E16" s="609"/>
      <c r="F16" s="609"/>
      <c r="G16" s="609"/>
    </row>
  </sheetData>
  <mergeCells count="9">
    <mergeCell ref="A16:G16"/>
    <mergeCell ref="C4:E4"/>
    <mergeCell ref="A5:A7"/>
    <mergeCell ref="A8:A11"/>
    <mergeCell ref="I1:K2"/>
    <mergeCell ref="A1:G1"/>
    <mergeCell ref="A4:B4"/>
    <mergeCell ref="A14:G14"/>
    <mergeCell ref="A15:G15"/>
  </mergeCells>
  <pageMargins left="0.6" right="0.79" top="0.79" bottom="1.06" header="0.3" footer="0.3"/>
  <pageSetup paperSize="9" fitToWidth="0" fitToHeight="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A8" sqref="A8:A11"/>
    </sheetView>
  </sheetViews>
  <sheetFormatPr baseColWidth="10" defaultColWidth="9.140625" defaultRowHeight="12.75" x14ac:dyDescent="0.2"/>
  <cols>
    <col min="1" max="1" width="14.7109375" customWidth="1"/>
    <col min="2" max="2" width="17.7109375" customWidth="1"/>
    <col min="3" max="5" width="10.7109375" customWidth="1"/>
    <col min="6" max="7" width="11.7109375" customWidth="1"/>
  </cols>
  <sheetData>
    <row r="1" spans="1:11" ht="15" customHeight="1" x14ac:dyDescent="0.2">
      <c r="A1" s="612" t="s">
        <v>63</v>
      </c>
      <c r="B1" s="609"/>
      <c r="C1" s="609"/>
      <c r="D1" s="609"/>
      <c r="E1" s="609"/>
      <c r="F1" s="609"/>
      <c r="G1" s="609"/>
      <c r="I1" s="611" t="str">
        <f>HYPERLINK("#'sommaire'!A1", "Retour sommaire")</f>
        <v>Retour sommaire</v>
      </c>
      <c r="J1" s="609"/>
      <c r="K1" s="609"/>
    </row>
    <row r="2" spans="1:11" x14ac:dyDescent="0.2">
      <c r="I2" s="609"/>
      <c r="J2" s="609"/>
      <c r="K2" s="609"/>
    </row>
    <row r="3" spans="1:11" ht="25.5" x14ac:dyDescent="0.2">
      <c r="A3" s="4" t="s">
        <v>48</v>
      </c>
      <c r="B3" s="4" t="s">
        <v>19</v>
      </c>
      <c r="C3" s="4" t="s">
        <v>49</v>
      </c>
      <c r="D3" s="4" t="s">
        <v>50</v>
      </c>
      <c r="E3" s="4">
        <v>2018</v>
      </c>
      <c r="F3" s="4" t="s">
        <v>967</v>
      </c>
      <c r="G3" s="4" t="s">
        <v>968</v>
      </c>
    </row>
    <row r="4" spans="1:11" x14ac:dyDescent="0.2">
      <c r="A4" s="613"/>
      <c r="B4" s="613"/>
      <c r="C4" s="613" t="s">
        <v>25</v>
      </c>
      <c r="D4" s="613" t="s">
        <v>25</v>
      </c>
      <c r="E4" s="613" t="s">
        <v>25</v>
      </c>
      <c r="F4" s="5" t="s">
        <v>52</v>
      </c>
      <c r="G4" s="5" t="s">
        <v>52</v>
      </c>
    </row>
    <row r="5" spans="1:11" x14ac:dyDescent="0.2">
      <c r="A5" s="614" t="s">
        <v>53</v>
      </c>
      <c r="B5" s="578" t="s">
        <v>29</v>
      </c>
      <c r="C5" s="574">
        <v>104938.8</v>
      </c>
      <c r="D5" s="574">
        <v>77510.5</v>
      </c>
      <c r="E5" s="574">
        <v>92946.637770332207</v>
      </c>
      <c r="F5" s="23">
        <v>-11.427767641394601</v>
      </c>
      <c r="G5" s="24">
        <v>19.914898975406199</v>
      </c>
    </row>
    <row r="6" spans="1:11" x14ac:dyDescent="0.2">
      <c r="A6" s="614" t="s">
        <v>53</v>
      </c>
      <c r="B6" s="578" t="s">
        <v>30</v>
      </c>
      <c r="C6" s="574">
        <v>78526.3</v>
      </c>
      <c r="D6" s="574">
        <v>74138.2</v>
      </c>
      <c r="E6" s="574">
        <v>48843.857620231996</v>
      </c>
      <c r="F6" s="23">
        <v>-37.799364518343602</v>
      </c>
      <c r="G6" s="24">
        <v>-34.117826410363399</v>
      </c>
    </row>
    <row r="7" spans="1:11" ht="25.5" x14ac:dyDescent="0.2">
      <c r="A7" s="614" t="s">
        <v>53</v>
      </c>
      <c r="B7" s="578" t="s">
        <v>969</v>
      </c>
      <c r="C7" s="574">
        <v>2678.5</v>
      </c>
      <c r="D7" s="574">
        <v>2868</v>
      </c>
      <c r="E7" s="574">
        <v>3339.24053325159</v>
      </c>
      <c r="F7" s="23">
        <v>24.668304396176602</v>
      </c>
      <c r="G7" s="24">
        <v>16.430980936248002</v>
      </c>
    </row>
    <row r="8" spans="1:11" ht="38.25" x14ac:dyDescent="0.2">
      <c r="A8" s="615" t="s">
        <v>55</v>
      </c>
      <c r="B8" s="578" t="s">
        <v>56</v>
      </c>
      <c r="C8" s="574">
        <v>36703.199999999997</v>
      </c>
      <c r="D8" s="574">
        <v>32274</v>
      </c>
      <c r="E8" s="574">
        <v>34563.679300000003</v>
      </c>
      <c r="F8" s="23">
        <v>-5.5781648163122703</v>
      </c>
      <c r="G8" s="24">
        <v>7.4153426607329296</v>
      </c>
    </row>
    <row r="9" spans="1:11" ht="38.25" x14ac:dyDescent="0.2">
      <c r="A9" s="616"/>
      <c r="B9" s="578" t="s">
        <v>57</v>
      </c>
      <c r="C9" s="574">
        <v>247.5</v>
      </c>
      <c r="D9" s="574">
        <v>357.4</v>
      </c>
      <c r="E9" s="574">
        <v>449</v>
      </c>
      <c r="F9" s="23">
        <v>81</v>
      </c>
      <c r="G9" s="24">
        <v>26</v>
      </c>
    </row>
    <row r="10" spans="1:11" x14ac:dyDescent="0.2">
      <c r="A10" s="616"/>
      <c r="B10" s="578" t="s">
        <v>37</v>
      </c>
      <c r="C10" s="574">
        <v>8000</v>
      </c>
      <c r="D10" s="574">
        <v>8000</v>
      </c>
      <c r="E10" s="574">
        <v>3591.5439999999999</v>
      </c>
      <c r="F10" s="23">
        <v>-55.105699999999999</v>
      </c>
      <c r="G10" s="24">
        <v>-55.105699999999999</v>
      </c>
    </row>
    <row r="11" spans="1:11" x14ac:dyDescent="0.2">
      <c r="A11" s="617"/>
      <c r="B11" s="578" t="s">
        <v>38</v>
      </c>
      <c r="C11" s="574">
        <v>6598.6</v>
      </c>
      <c r="D11" s="574">
        <v>5215.2</v>
      </c>
      <c r="E11" s="574">
        <v>4442.424</v>
      </c>
      <c r="F11" s="23">
        <v>-32.676264662201099</v>
      </c>
      <c r="G11" s="24">
        <v>-14.8177634606535</v>
      </c>
    </row>
    <row r="12" spans="1:11" ht="38.25" x14ac:dyDescent="0.2">
      <c r="A12" s="17" t="s">
        <v>58</v>
      </c>
      <c r="B12" s="578" t="s">
        <v>59</v>
      </c>
      <c r="C12" s="574" t="s">
        <v>60</v>
      </c>
      <c r="D12" s="574" t="s">
        <v>60</v>
      </c>
      <c r="E12" s="574">
        <v>188.14859999999999</v>
      </c>
      <c r="F12" s="23" t="s">
        <v>60</v>
      </c>
      <c r="G12" s="24" t="s">
        <v>60</v>
      </c>
    </row>
    <row r="13" spans="1:11" ht="42.75" customHeight="1" x14ac:dyDescent="0.2">
      <c r="A13" s="608" t="s">
        <v>42</v>
      </c>
      <c r="B13" s="609"/>
      <c r="C13" s="609"/>
      <c r="D13" s="609"/>
      <c r="E13" s="609"/>
      <c r="F13" s="609"/>
      <c r="G13" s="609"/>
    </row>
    <row r="14" spans="1:11" ht="17.25" customHeight="1" x14ac:dyDescent="0.2">
      <c r="A14" s="608" t="s">
        <v>61</v>
      </c>
      <c r="B14" s="609"/>
      <c r="C14" s="609"/>
      <c r="D14" s="609"/>
      <c r="E14" s="609"/>
      <c r="F14" s="609"/>
      <c r="G14" s="609"/>
    </row>
    <row r="15" spans="1:11" ht="17.25" customHeight="1" x14ac:dyDescent="0.2">
      <c r="A15" s="610" t="s">
        <v>62</v>
      </c>
      <c r="B15" s="609"/>
      <c r="C15" s="609"/>
      <c r="D15" s="609"/>
      <c r="E15" s="609"/>
      <c r="F15" s="609"/>
      <c r="G15" s="609"/>
    </row>
  </sheetData>
  <mergeCells count="9">
    <mergeCell ref="A15:G15"/>
    <mergeCell ref="C4:E4"/>
    <mergeCell ref="A5:A7"/>
    <mergeCell ref="I1:K2"/>
    <mergeCell ref="A1:G1"/>
    <mergeCell ref="A4:B4"/>
    <mergeCell ref="A13:G13"/>
    <mergeCell ref="A14:G14"/>
    <mergeCell ref="A8:A11"/>
  </mergeCells>
  <pageMargins left="0.6" right="0.79" top="0.79" bottom="1.06" header="0.3" footer="0.3"/>
  <pageSetup paperSize="9" fitToWidth="0" fitToHeight="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H1" sqref="H1:J2"/>
    </sheetView>
  </sheetViews>
  <sheetFormatPr baseColWidth="10" defaultColWidth="9.140625" defaultRowHeight="12.75" x14ac:dyDescent="0.2"/>
  <cols>
    <col min="1" max="1" width="21.7109375" customWidth="1"/>
    <col min="2" max="2" width="15.7109375" customWidth="1"/>
    <col min="3" max="5" width="11.7109375" customWidth="1"/>
    <col min="6" max="6" width="14.7109375" customWidth="1"/>
  </cols>
  <sheetData>
    <row r="1" spans="1:10" ht="39" customHeight="1" x14ac:dyDescent="0.2">
      <c r="A1" s="612" t="s">
        <v>66</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ht="51" x14ac:dyDescent="0.2">
      <c r="A4" s="4" t="s">
        <v>68</v>
      </c>
      <c r="B4" s="4" t="s">
        <v>69</v>
      </c>
      <c r="C4" s="4" t="s">
        <v>70</v>
      </c>
      <c r="D4" s="4" t="s">
        <v>71</v>
      </c>
      <c r="E4" s="4" t="s">
        <v>72</v>
      </c>
      <c r="F4" s="4" t="s">
        <v>73</v>
      </c>
    </row>
    <row r="5" spans="1:10" x14ac:dyDescent="0.2">
      <c r="A5" s="601" t="s">
        <v>996</v>
      </c>
      <c r="B5" s="26">
        <v>202</v>
      </c>
      <c r="C5" s="28">
        <v>11</v>
      </c>
      <c r="D5" s="30">
        <v>14</v>
      </c>
      <c r="E5" s="32"/>
      <c r="F5" s="618">
        <v>20</v>
      </c>
    </row>
    <row r="6" spans="1:10" x14ac:dyDescent="0.2">
      <c r="A6" s="601" t="s">
        <v>997</v>
      </c>
      <c r="B6" s="26">
        <v>45</v>
      </c>
      <c r="C6" s="28">
        <v>9</v>
      </c>
      <c r="D6" s="30">
        <v>73</v>
      </c>
      <c r="E6" s="32">
        <v>3</v>
      </c>
      <c r="F6" s="618" t="s">
        <v>74</v>
      </c>
    </row>
    <row r="7" spans="1:10" x14ac:dyDescent="0.2">
      <c r="A7" s="601" t="s">
        <v>998</v>
      </c>
      <c r="B7" s="26">
        <v>39</v>
      </c>
      <c r="C7" s="28">
        <v>7</v>
      </c>
      <c r="D7" s="30">
        <v>16</v>
      </c>
      <c r="E7" s="32"/>
      <c r="F7" s="34">
        <v>16</v>
      </c>
    </row>
    <row r="8" spans="1:10" x14ac:dyDescent="0.2">
      <c r="A8" s="601" t="s">
        <v>999</v>
      </c>
      <c r="B8" s="26">
        <v>117</v>
      </c>
      <c r="C8" s="28">
        <v>26</v>
      </c>
      <c r="D8" s="30">
        <v>27</v>
      </c>
      <c r="E8" s="32"/>
      <c r="F8" s="34">
        <v>27</v>
      </c>
    </row>
    <row r="9" spans="1:10" x14ac:dyDescent="0.2">
      <c r="A9" s="601" t="s">
        <v>1000</v>
      </c>
      <c r="B9" s="26">
        <v>130</v>
      </c>
      <c r="C9" s="28">
        <v>12</v>
      </c>
      <c r="D9" s="30">
        <v>21</v>
      </c>
      <c r="E9" s="618">
        <v>5</v>
      </c>
      <c r="F9" s="34">
        <v>17</v>
      </c>
    </row>
    <row r="10" spans="1:10" x14ac:dyDescent="0.2">
      <c r="A10" s="601" t="s">
        <v>1001</v>
      </c>
      <c r="B10" s="26">
        <v>133</v>
      </c>
      <c r="C10" s="28">
        <v>11</v>
      </c>
      <c r="D10" s="30">
        <v>9</v>
      </c>
      <c r="E10" s="618" t="s">
        <v>74</v>
      </c>
      <c r="F10" s="34">
        <v>22</v>
      </c>
    </row>
    <row r="11" spans="1:10" x14ac:dyDescent="0.2">
      <c r="A11" s="601" t="s">
        <v>1002</v>
      </c>
      <c r="B11" s="26">
        <v>101</v>
      </c>
      <c r="C11" s="28">
        <v>22</v>
      </c>
      <c r="D11" s="30">
        <v>7</v>
      </c>
      <c r="E11" s="618" t="s">
        <v>74</v>
      </c>
      <c r="F11" s="34">
        <v>10</v>
      </c>
    </row>
    <row r="12" spans="1:10" x14ac:dyDescent="0.2">
      <c r="A12" s="601" t="s">
        <v>1003</v>
      </c>
      <c r="B12" s="26">
        <v>121</v>
      </c>
      <c r="C12" s="28">
        <v>6</v>
      </c>
      <c r="D12" s="30">
        <v>5</v>
      </c>
      <c r="E12" s="618" t="s">
        <v>74</v>
      </c>
      <c r="F12" s="34">
        <v>8</v>
      </c>
    </row>
    <row r="13" spans="1:10" x14ac:dyDescent="0.2">
      <c r="A13" s="601" t="s">
        <v>1004</v>
      </c>
      <c r="B13" s="26">
        <v>106</v>
      </c>
      <c r="C13" s="28">
        <v>11</v>
      </c>
      <c r="D13" s="30">
        <v>5</v>
      </c>
      <c r="E13" s="618" t="s">
        <v>74</v>
      </c>
      <c r="F13" s="34">
        <v>5</v>
      </c>
    </row>
    <row r="14" spans="1:10" x14ac:dyDescent="0.2">
      <c r="A14" s="601" t="s">
        <v>1005</v>
      </c>
      <c r="B14" s="26">
        <v>78</v>
      </c>
      <c r="C14" s="28">
        <v>19</v>
      </c>
      <c r="D14" s="30">
        <v>7</v>
      </c>
      <c r="E14" s="618" t="s">
        <v>74</v>
      </c>
      <c r="F14" s="34">
        <v>6</v>
      </c>
    </row>
    <row r="15" spans="1:10" x14ac:dyDescent="0.2">
      <c r="A15" s="601" t="s">
        <v>1006</v>
      </c>
      <c r="B15" s="26">
        <v>85</v>
      </c>
      <c r="C15" s="28">
        <v>5</v>
      </c>
      <c r="D15" s="618">
        <v>5</v>
      </c>
      <c r="E15" s="618" t="s">
        <v>74</v>
      </c>
      <c r="F15" s="618">
        <v>7</v>
      </c>
    </row>
    <row r="16" spans="1:10" x14ac:dyDescent="0.2">
      <c r="A16" s="601" t="s">
        <v>1007</v>
      </c>
      <c r="B16" s="26">
        <v>63</v>
      </c>
      <c r="C16" s="28">
        <v>7</v>
      </c>
      <c r="D16" s="618" t="s">
        <v>74</v>
      </c>
      <c r="E16" s="32"/>
      <c r="F16" s="618" t="s">
        <v>74</v>
      </c>
    </row>
    <row r="17" spans="1:6" x14ac:dyDescent="0.2">
      <c r="A17" s="601" t="s">
        <v>1008</v>
      </c>
      <c r="B17" s="26">
        <v>171</v>
      </c>
      <c r="C17" s="28">
        <v>19</v>
      </c>
      <c r="D17" s="30">
        <v>3</v>
      </c>
      <c r="E17" s="32"/>
      <c r="F17" s="34">
        <v>7</v>
      </c>
    </row>
    <row r="18" spans="1:6" x14ac:dyDescent="0.2">
      <c r="A18" s="601" t="s">
        <v>1009</v>
      </c>
      <c r="B18" s="26">
        <v>140</v>
      </c>
      <c r="C18" s="28">
        <v>18</v>
      </c>
      <c r="D18" s="30">
        <v>5</v>
      </c>
      <c r="E18" s="32"/>
      <c r="F18" s="34">
        <v>4</v>
      </c>
    </row>
    <row r="19" spans="1:6" x14ac:dyDescent="0.2">
      <c r="A19" s="601" t="s">
        <v>1010</v>
      </c>
      <c r="B19" s="26">
        <v>203</v>
      </c>
      <c r="C19" s="28">
        <v>19</v>
      </c>
      <c r="D19" s="30">
        <v>4</v>
      </c>
      <c r="E19" s="618">
        <v>4</v>
      </c>
      <c r="F19" s="34">
        <v>4</v>
      </c>
    </row>
    <row r="20" spans="1:6" x14ac:dyDescent="0.2">
      <c r="A20" s="601" t="s">
        <v>1011</v>
      </c>
      <c r="B20" s="26">
        <v>136</v>
      </c>
      <c r="C20" s="28">
        <v>13</v>
      </c>
      <c r="D20" s="30">
        <v>4</v>
      </c>
      <c r="E20" s="618" t="s">
        <v>74</v>
      </c>
      <c r="F20" s="618">
        <v>3</v>
      </c>
    </row>
    <row r="21" spans="1:6" x14ac:dyDescent="0.2">
      <c r="A21" s="601" t="s">
        <v>1012</v>
      </c>
      <c r="B21" s="26">
        <v>96</v>
      </c>
      <c r="C21" s="28">
        <v>13</v>
      </c>
      <c r="D21" s="30">
        <v>3</v>
      </c>
      <c r="E21" s="618">
        <v>3</v>
      </c>
      <c r="F21" s="618" t="s">
        <v>74</v>
      </c>
    </row>
    <row r="22" spans="1:6" x14ac:dyDescent="0.2">
      <c r="A22" s="601" t="s">
        <v>1013</v>
      </c>
      <c r="B22" s="26">
        <v>155</v>
      </c>
      <c r="C22" s="28">
        <v>21</v>
      </c>
      <c r="D22" s="30">
        <v>4</v>
      </c>
      <c r="E22" s="618" t="s">
        <v>74</v>
      </c>
      <c r="F22" s="618" t="s">
        <v>74</v>
      </c>
    </row>
    <row r="23" spans="1:6" x14ac:dyDescent="0.2">
      <c r="A23" s="601" t="s">
        <v>1014</v>
      </c>
      <c r="B23" s="26">
        <v>79</v>
      </c>
      <c r="C23" s="28">
        <v>17</v>
      </c>
      <c r="D23" s="30"/>
      <c r="E23" s="32"/>
      <c r="F23" s="34"/>
    </row>
    <row r="24" spans="1:6" x14ac:dyDescent="0.2">
      <c r="A24" s="601" t="s">
        <v>1015</v>
      </c>
      <c r="B24" s="26">
        <v>143</v>
      </c>
      <c r="C24" s="28">
        <v>18</v>
      </c>
      <c r="D24" s="618">
        <v>7</v>
      </c>
      <c r="E24" s="618">
        <v>5</v>
      </c>
      <c r="F24" s="618">
        <v>3</v>
      </c>
    </row>
    <row r="25" spans="1:6" x14ac:dyDescent="0.2">
      <c r="A25" s="601" t="s">
        <v>1016</v>
      </c>
      <c r="B25" s="26">
        <v>70</v>
      </c>
      <c r="C25" s="28">
        <v>13</v>
      </c>
      <c r="D25" s="618" t="s">
        <v>74</v>
      </c>
      <c r="E25" s="618" t="s">
        <v>74</v>
      </c>
      <c r="F25" s="618" t="s">
        <v>74</v>
      </c>
    </row>
    <row r="26" spans="1:6" x14ac:dyDescent="0.2">
      <c r="A26" s="601" t="s">
        <v>1017</v>
      </c>
      <c r="B26" s="26">
        <v>55</v>
      </c>
      <c r="C26" s="28">
        <v>24</v>
      </c>
      <c r="D26" s="618" t="s">
        <v>74</v>
      </c>
      <c r="E26" s="32"/>
      <c r="F26" s="34"/>
    </row>
    <row r="27" spans="1:6" x14ac:dyDescent="0.2">
      <c r="A27" s="601" t="s">
        <v>1018</v>
      </c>
      <c r="B27" s="26">
        <v>52</v>
      </c>
      <c r="C27" s="28">
        <v>13</v>
      </c>
      <c r="D27" s="30"/>
      <c r="E27" s="618">
        <v>10</v>
      </c>
      <c r="F27" s="34"/>
    </row>
    <row r="28" spans="1:6" x14ac:dyDescent="0.2">
      <c r="A28" s="601" t="s">
        <v>1019</v>
      </c>
      <c r="B28" s="26">
        <v>22</v>
      </c>
      <c r="C28" s="28">
        <v>11</v>
      </c>
      <c r="D28" s="30"/>
      <c r="E28" s="618" t="s">
        <v>74</v>
      </c>
      <c r="F28" s="34"/>
    </row>
    <row r="29" spans="1:6" x14ac:dyDescent="0.2">
      <c r="A29" s="6" t="s">
        <v>75</v>
      </c>
      <c r="B29" s="25">
        <v>2542</v>
      </c>
      <c r="C29" s="27">
        <v>345</v>
      </c>
      <c r="D29" s="29">
        <v>219</v>
      </c>
      <c r="E29" s="31">
        <v>30</v>
      </c>
      <c r="F29" s="33">
        <v>159</v>
      </c>
    </row>
    <row r="30" spans="1:6" ht="31.5" customHeight="1" x14ac:dyDescent="0.2">
      <c r="A30" s="608" t="s">
        <v>76</v>
      </c>
      <c r="B30" s="609"/>
      <c r="C30" s="609"/>
      <c r="D30" s="609"/>
      <c r="E30" s="609"/>
      <c r="F30" s="609"/>
    </row>
    <row r="31" spans="1:6" ht="30" customHeight="1" x14ac:dyDescent="0.2">
      <c r="A31" s="608" t="s">
        <v>77</v>
      </c>
      <c r="B31" s="609"/>
      <c r="C31" s="609"/>
      <c r="D31" s="609"/>
      <c r="E31" s="609"/>
      <c r="F31" s="609"/>
    </row>
    <row r="32" spans="1:6" ht="27.75" customHeight="1" x14ac:dyDescent="0.2">
      <c r="A32" s="608" t="s">
        <v>78</v>
      </c>
      <c r="B32" s="609"/>
      <c r="C32" s="609"/>
      <c r="D32" s="609"/>
      <c r="E32" s="609"/>
      <c r="F32" s="609"/>
    </row>
    <row r="33" spans="1:6" x14ac:dyDescent="0.2">
      <c r="A33" s="608" t="s">
        <v>45</v>
      </c>
      <c r="B33" s="609"/>
      <c r="C33" s="609"/>
      <c r="D33" s="609"/>
      <c r="E33" s="609"/>
      <c r="F33" s="609"/>
    </row>
    <row r="34" spans="1:6" ht="30.75" customHeight="1" x14ac:dyDescent="0.2">
      <c r="A34" s="608" t="s">
        <v>79</v>
      </c>
      <c r="B34" s="609"/>
      <c r="C34" s="609"/>
      <c r="D34" s="609"/>
      <c r="E34" s="609"/>
      <c r="F34" s="609"/>
    </row>
    <row r="35" spans="1:6" ht="27" customHeight="1" x14ac:dyDescent="0.2">
      <c r="A35" s="610" t="s">
        <v>46</v>
      </c>
      <c r="B35" s="609"/>
      <c r="C35" s="609"/>
      <c r="D35" s="609"/>
      <c r="E35" s="609"/>
      <c r="F35" s="609"/>
    </row>
  </sheetData>
  <mergeCells count="20">
    <mergeCell ref="H1:J2"/>
    <mergeCell ref="A1:F1"/>
    <mergeCell ref="A3:F3"/>
    <mergeCell ref="A30:F30"/>
    <mergeCell ref="A31:F31"/>
    <mergeCell ref="A32:F32"/>
    <mergeCell ref="A33:F33"/>
    <mergeCell ref="A34:F34"/>
    <mergeCell ref="A35:F35"/>
    <mergeCell ref="F5:F6"/>
    <mergeCell ref="F15:F16"/>
    <mergeCell ref="F20:F22"/>
    <mergeCell ref="F24:F25"/>
    <mergeCell ref="D15:D16"/>
    <mergeCell ref="D24:D26"/>
    <mergeCell ref="E9:E15"/>
    <mergeCell ref="E19:E20"/>
    <mergeCell ref="E21:E22"/>
    <mergeCell ref="E24:E25"/>
    <mergeCell ref="E27:E28"/>
  </mergeCells>
  <pageMargins left="0.6" right="0.79" top="0.79" bottom="1.06" header="0.3" footer="0.3"/>
  <pageSetup paperSize="9" fitToWidth="0" fitToHeight="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opLeftCell="A10" workbookViewId="0">
      <selection activeCell="A45" sqref="A45:A50"/>
    </sheetView>
  </sheetViews>
  <sheetFormatPr baseColWidth="10" defaultColWidth="9.140625" defaultRowHeight="12.75" x14ac:dyDescent="0.2"/>
  <cols>
    <col min="1" max="1" width="31.7109375" customWidth="1"/>
    <col min="2" max="4" width="12.7109375" customWidth="1"/>
    <col min="5" max="5" width="16.7109375" customWidth="1"/>
  </cols>
  <sheetData>
    <row r="1" spans="1:9" ht="39" customHeight="1" x14ac:dyDescent="0.2">
      <c r="A1" s="612" t="s">
        <v>80</v>
      </c>
      <c r="B1" s="609"/>
      <c r="C1" s="609"/>
      <c r="D1" s="609"/>
      <c r="E1" s="609"/>
      <c r="G1" s="611" t="str">
        <f>HYPERLINK("#'sommaire'!A1", "Retour sommaire")</f>
        <v>Retour sommaire</v>
      </c>
      <c r="H1" s="609"/>
      <c r="I1" s="609"/>
    </row>
    <row r="2" spans="1:9" x14ac:dyDescent="0.2">
      <c r="G2" s="609"/>
      <c r="H2" s="609"/>
      <c r="I2" s="609"/>
    </row>
    <row r="3" spans="1:9" ht="25.5" x14ac:dyDescent="0.2">
      <c r="A3" s="4" t="s">
        <v>81</v>
      </c>
      <c r="B3" s="4" t="s">
        <v>82</v>
      </c>
      <c r="C3" s="4" t="s">
        <v>83</v>
      </c>
      <c r="D3" s="4" t="s">
        <v>84</v>
      </c>
      <c r="E3" s="4" t="s">
        <v>85</v>
      </c>
    </row>
    <row r="4" spans="1:9" ht="25.5" x14ac:dyDescent="0.2">
      <c r="A4" s="5"/>
      <c r="B4" s="5"/>
      <c r="C4" s="5" t="s">
        <v>86</v>
      </c>
      <c r="D4" s="5" t="s">
        <v>99</v>
      </c>
      <c r="E4" s="5" t="s">
        <v>26</v>
      </c>
    </row>
    <row r="5" spans="1:9" x14ac:dyDescent="0.2">
      <c r="A5" s="620" t="s">
        <v>69</v>
      </c>
      <c r="B5" s="621"/>
      <c r="C5" s="621"/>
      <c r="D5" s="621"/>
      <c r="E5" s="621"/>
    </row>
    <row r="6" spans="1:9" x14ac:dyDescent="0.2">
      <c r="A6" s="601" t="s">
        <v>981</v>
      </c>
      <c r="B6" s="36">
        <v>4</v>
      </c>
      <c r="C6" s="38">
        <v>4</v>
      </c>
      <c r="D6" s="40">
        <v>0</v>
      </c>
      <c r="E6" s="42">
        <v>27.7</v>
      </c>
    </row>
    <row r="7" spans="1:9" x14ac:dyDescent="0.2">
      <c r="A7" s="601" t="s">
        <v>982</v>
      </c>
      <c r="B7" s="36">
        <v>171</v>
      </c>
      <c r="C7" s="38">
        <v>271</v>
      </c>
      <c r="D7" s="40">
        <v>83.767199124726503</v>
      </c>
      <c r="E7" s="42">
        <v>6529.9449000000004</v>
      </c>
    </row>
    <row r="8" spans="1:9" x14ac:dyDescent="0.2">
      <c r="A8" s="601" t="s">
        <v>983</v>
      </c>
      <c r="B8" s="36">
        <v>786</v>
      </c>
      <c r="C8" s="38">
        <v>1634</v>
      </c>
      <c r="D8" s="40">
        <v>931.75610503282303</v>
      </c>
      <c r="E8" s="42">
        <v>56711.838642903203</v>
      </c>
    </row>
    <row r="9" spans="1:9" x14ac:dyDescent="0.2">
      <c r="A9" s="601" t="s">
        <v>984</v>
      </c>
      <c r="B9" s="36">
        <v>590</v>
      </c>
      <c r="C9" s="38">
        <v>2721</v>
      </c>
      <c r="D9" s="40">
        <v>1383.6115973741801</v>
      </c>
      <c r="E9" s="42">
        <v>86889.565499999997</v>
      </c>
    </row>
    <row r="10" spans="1:9" x14ac:dyDescent="0.2">
      <c r="A10" s="601" t="s">
        <v>985</v>
      </c>
      <c r="B10" s="36">
        <v>318</v>
      </c>
      <c r="C10" s="38">
        <v>2237</v>
      </c>
      <c r="D10" s="40">
        <v>1052.9837855579899</v>
      </c>
      <c r="E10" s="42">
        <v>73817.007914000002</v>
      </c>
    </row>
    <row r="11" spans="1:9" x14ac:dyDescent="0.2">
      <c r="A11" s="601" t="s">
        <v>986</v>
      </c>
      <c r="B11" s="36">
        <v>210</v>
      </c>
      <c r="C11" s="38">
        <v>1537</v>
      </c>
      <c r="D11" s="40">
        <v>908.91223194748397</v>
      </c>
      <c r="E11" s="42">
        <v>62984.199000000001</v>
      </c>
    </row>
    <row r="12" spans="1:9" x14ac:dyDescent="0.2">
      <c r="A12" s="601" t="s">
        <v>987</v>
      </c>
      <c r="B12" s="36">
        <v>342</v>
      </c>
      <c r="C12" s="38">
        <v>4309</v>
      </c>
      <c r="D12" s="40">
        <v>2307.6256892779002</v>
      </c>
      <c r="E12" s="42">
        <v>207105.44870000001</v>
      </c>
    </row>
    <row r="13" spans="1:9" x14ac:dyDescent="0.2">
      <c r="A13" s="601" t="s">
        <v>988</v>
      </c>
      <c r="B13" s="36">
        <v>91</v>
      </c>
      <c r="C13" s="38">
        <v>2386</v>
      </c>
      <c r="D13" s="40">
        <v>1184.40680525164</v>
      </c>
      <c r="E13" s="42">
        <v>115277.557</v>
      </c>
    </row>
    <row r="14" spans="1:9" x14ac:dyDescent="0.2">
      <c r="A14" s="601" t="s">
        <v>989</v>
      </c>
      <c r="B14" s="36">
        <v>23</v>
      </c>
      <c r="C14" s="38">
        <v>1109</v>
      </c>
      <c r="D14" s="40">
        <v>625.36487964989101</v>
      </c>
      <c r="E14" s="42">
        <v>49103.548000000003</v>
      </c>
    </row>
    <row r="15" spans="1:9" x14ac:dyDescent="0.2">
      <c r="A15" s="601" t="s">
        <v>990</v>
      </c>
      <c r="B15" s="36">
        <v>7</v>
      </c>
      <c r="C15" s="38">
        <v>657</v>
      </c>
      <c r="D15" s="40">
        <v>473.10503282275698</v>
      </c>
      <c r="E15" s="42">
        <v>32223.748</v>
      </c>
    </row>
    <row r="16" spans="1:9" x14ac:dyDescent="0.2">
      <c r="A16" s="7" t="s">
        <v>87</v>
      </c>
      <c r="B16" s="35">
        <v>2542</v>
      </c>
      <c r="C16" s="37">
        <v>16865</v>
      </c>
      <c r="D16" s="39">
        <v>8951.5333260393909</v>
      </c>
      <c r="E16" s="41">
        <v>690670.55765690305</v>
      </c>
    </row>
    <row r="17" spans="1:5" x14ac:dyDescent="0.2">
      <c r="A17" s="620" t="s">
        <v>70</v>
      </c>
      <c r="B17" s="621"/>
      <c r="C17" s="621"/>
      <c r="D17" s="621"/>
      <c r="E17" s="621"/>
    </row>
    <row r="18" spans="1:5" x14ac:dyDescent="0.2">
      <c r="A18" s="601" t="s">
        <v>982</v>
      </c>
      <c r="B18" s="36">
        <v>36</v>
      </c>
      <c r="C18" s="38">
        <v>44</v>
      </c>
      <c r="D18" s="40">
        <v>16.2944420131291</v>
      </c>
      <c r="E18" s="42">
        <v>2238.317</v>
      </c>
    </row>
    <row r="19" spans="1:5" x14ac:dyDescent="0.2">
      <c r="A19" s="601" t="s">
        <v>983</v>
      </c>
      <c r="B19" s="36">
        <v>112</v>
      </c>
      <c r="C19" s="38">
        <v>191</v>
      </c>
      <c r="D19" s="40">
        <v>124.797833698031</v>
      </c>
      <c r="E19" s="42">
        <v>13749.835892823399</v>
      </c>
    </row>
    <row r="20" spans="1:5" x14ac:dyDescent="0.2">
      <c r="A20" s="601" t="s">
        <v>984</v>
      </c>
      <c r="B20" s="36">
        <v>61</v>
      </c>
      <c r="C20" s="38">
        <v>210</v>
      </c>
      <c r="D20" s="40">
        <v>134.41730853391701</v>
      </c>
      <c r="E20" s="42">
        <v>16601.2</v>
      </c>
    </row>
    <row r="21" spans="1:5" x14ac:dyDescent="0.2">
      <c r="A21" s="601" t="s">
        <v>985</v>
      </c>
      <c r="B21" s="36">
        <v>53</v>
      </c>
      <c r="C21" s="38">
        <v>222</v>
      </c>
      <c r="D21" s="40">
        <v>169.50218818380699</v>
      </c>
      <c r="E21" s="42">
        <v>19023.226999999999</v>
      </c>
    </row>
    <row r="22" spans="1:5" x14ac:dyDescent="0.2">
      <c r="A22" s="601" t="s">
        <v>986</v>
      </c>
      <c r="B22" s="36">
        <v>24</v>
      </c>
      <c r="C22" s="38">
        <v>141</v>
      </c>
      <c r="D22" s="40">
        <v>102.511597374179</v>
      </c>
      <c r="E22" s="42">
        <v>13944.058999999999</v>
      </c>
    </row>
    <row r="23" spans="1:5" x14ac:dyDescent="0.2">
      <c r="A23" s="601" t="s">
        <v>987</v>
      </c>
      <c r="B23" s="36">
        <v>35</v>
      </c>
      <c r="C23" s="38">
        <v>295</v>
      </c>
      <c r="D23" s="40">
        <v>235.89396061269099</v>
      </c>
      <c r="E23" s="42">
        <v>36784.061000000002</v>
      </c>
    </row>
    <row r="24" spans="1:5" x14ac:dyDescent="0.2">
      <c r="A24" s="601" t="s">
        <v>988</v>
      </c>
      <c r="B24" s="36">
        <v>15</v>
      </c>
      <c r="C24" s="38">
        <v>255</v>
      </c>
      <c r="D24" s="40">
        <v>221.48588621444199</v>
      </c>
      <c r="E24" s="42">
        <v>24498.344000000001</v>
      </c>
    </row>
    <row r="25" spans="1:5" x14ac:dyDescent="0.2">
      <c r="A25" s="601" t="s">
        <v>989</v>
      </c>
      <c r="B25" s="36">
        <v>6</v>
      </c>
      <c r="C25" s="38">
        <v>244</v>
      </c>
      <c r="D25" s="40">
        <v>177.27188183807399</v>
      </c>
      <c r="E25" s="42">
        <v>25297.311000000002</v>
      </c>
    </row>
    <row r="26" spans="1:5" x14ac:dyDescent="0.2">
      <c r="A26" s="601" t="s">
        <v>990</v>
      </c>
      <c r="B26" s="36">
        <v>3</v>
      </c>
      <c r="C26" s="38">
        <v>252</v>
      </c>
      <c r="D26" s="40">
        <v>264.67943107220998</v>
      </c>
      <c r="E26" s="42">
        <v>23461.804</v>
      </c>
    </row>
    <row r="27" spans="1:5" ht="25.5" x14ac:dyDescent="0.2">
      <c r="A27" s="7" t="s">
        <v>88</v>
      </c>
      <c r="B27" s="35">
        <v>345</v>
      </c>
      <c r="C27" s="37">
        <v>1854</v>
      </c>
      <c r="D27" s="39">
        <v>1446.8545295404799</v>
      </c>
      <c r="E27" s="41">
        <v>175598.158892823</v>
      </c>
    </row>
    <row r="28" spans="1:5" x14ac:dyDescent="0.2">
      <c r="A28" s="620" t="s">
        <v>71</v>
      </c>
      <c r="B28" s="621"/>
      <c r="C28" s="621"/>
      <c r="D28" s="621"/>
      <c r="E28" s="621"/>
    </row>
    <row r="29" spans="1:5" x14ac:dyDescent="0.2">
      <c r="A29" s="601" t="s">
        <v>981</v>
      </c>
      <c r="B29" s="36">
        <v>18</v>
      </c>
      <c r="C29" s="38">
        <v>7</v>
      </c>
      <c r="D29" s="40">
        <v>0</v>
      </c>
      <c r="E29" s="42">
        <v>22.658999999999999</v>
      </c>
    </row>
    <row r="30" spans="1:5" x14ac:dyDescent="0.2">
      <c r="A30" s="601" t="s">
        <v>982</v>
      </c>
      <c r="B30" s="36">
        <v>104</v>
      </c>
      <c r="C30" s="38">
        <v>253</v>
      </c>
      <c r="D30" s="40">
        <v>27.344420131290999</v>
      </c>
      <c r="E30" s="42">
        <v>1797.6369999999999</v>
      </c>
    </row>
    <row r="31" spans="1:5" x14ac:dyDescent="0.2">
      <c r="A31" s="601" t="s">
        <v>983</v>
      </c>
      <c r="B31" s="36">
        <v>60</v>
      </c>
      <c r="C31" s="38">
        <v>117</v>
      </c>
      <c r="D31" s="40">
        <v>68.207724288840296</v>
      </c>
      <c r="E31" s="42">
        <v>1933.2460000000001</v>
      </c>
    </row>
    <row r="32" spans="1:5" x14ac:dyDescent="0.2">
      <c r="A32" s="601" t="s">
        <v>984</v>
      </c>
      <c r="B32" s="36">
        <v>20</v>
      </c>
      <c r="C32" s="38">
        <v>57</v>
      </c>
      <c r="D32" s="40">
        <v>44.271137855579902</v>
      </c>
      <c r="E32" s="42">
        <v>3175.9140000000002</v>
      </c>
    </row>
    <row r="33" spans="1:5" x14ac:dyDescent="0.2">
      <c r="A33" s="601" t="s">
        <v>985</v>
      </c>
      <c r="B33" s="36">
        <v>8</v>
      </c>
      <c r="C33" s="38">
        <v>38</v>
      </c>
      <c r="D33" s="40">
        <v>25.481838074398301</v>
      </c>
      <c r="E33" s="42">
        <v>2578.4639999999999</v>
      </c>
    </row>
    <row r="34" spans="1:5" x14ac:dyDescent="0.2">
      <c r="A34" s="601" t="s">
        <v>986</v>
      </c>
      <c r="B34" s="36">
        <v>3</v>
      </c>
      <c r="C34" s="38">
        <v>17</v>
      </c>
      <c r="D34" s="40">
        <v>12.7816192560175</v>
      </c>
      <c r="E34" s="42">
        <v>1270.78</v>
      </c>
    </row>
    <row r="35" spans="1:5" x14ac:dyDescent="0.2">
      <c r="A35" s="601" t="s">
        <v>991</v>
      </c>
      <c r="B35" s="36">
        <v>6</v>
      </c>
      <c r="C35" s="38">
        <v>61</v>
      </c>
      <c r="D35" s="40">
        <v>44.168380743982503</v>
      </c>
      <c r="E35" s="42">
        <v>2521.0450000000001</v>
      </c>
    </row>
    <row r="36" spans="1:5" x14ac:dyDescent="0.2">
      <c r="A36" s="7" t="s">
        <v>89</v>
      </c>
      <c r="B36" s="35">
        <v>219</v>
      </c>
      <c r="C36" s="37">
        <v>550</v>
      </c>
      <c r="D36" s="39">
        <v>222.255120350109</v>
      </c>
      <c r="E36" s="41">
        <v>13299.745000000001</v>
      </c>
    </row>
    <row r="37" spans="1:5" x14ac:dyDescent="0.2">
      <c r="A37" s="620" t="s">
        <v>72</v>
      </c>
      <c r="B37" s="621"/>
      <c r="C37" s="621"/>
      <c r="D37" s="621"/>
      <c r="E37" s="621"/>
    </row>
    <row r="38" spans="1:5" x14ac:dyDescent="0.2">
      <c r="A38" s="601" t="s">
        <v>992</v>
      </c>
      <c r="B38" s="36">
        <v>6</v>
      </c>
      <c r="C38" s="38">
        <v>9</v>
      </c>
      <c r="D38" s="40">
        <v>5.3</v>
      </c>
      <c r="E38" s="42">
        <v>261.27600000000001</v>
      </c>
    </row>
    <row r="39" spans="1:5" x14ac:dyDescent="0.2">
      <c r="A39" s="601" t="s">
        <v>984</v>
      </c>
      <c r="B39" s="36">
        <v>5</v>
      </c>
      <c r="C39" s="38">
        <v>23</v>
      </c>
      <c r="D39" s="40">
        <v>11.4603938730853</v>
      </c>
      <c r="E39" s="42">
        <v>995.84900000000005</v>
      </c>
    </row>
    <row r="40" spans="1:5" x14ac:dyDescent="0.2">
      <c r="A40" s="601" t="s">
        <v>993</v>
      </c>
      <c r="B40" s="36">
        <v>10</v>
      </c>
      <c r="C40" s="38">
        <v>75</v>
      </c>
      <c r="D40" s="40">
        <v>62.7953829</v>
      </c>
      <c r="E40" s="42">
        <v>9494.3356666</v>
      </c>
    </row>
    <row r="41" spans="1:5" x14ac:dyDescent="0.2">
      <c r="A41" s="601" t="s">
        <v>994</v>
      </c>
      <c r="B41" s="36">
        <v>3</v>
      </c>
      <c r="C41" s="38">
        <v>118</v>
      </c>
      <c r="D41" s="40">
        <v>51.106455142232001</v>
      </c>
      <c r="E41" s="42">
        <v>6111.1329999999998</v>
      </c>
    </row>
    <row r="42" spans="1:5" x14ac:dyDescent="0.2">
      <c r="A42" s="601" t="s">
        <v>995</v>
      </c>
      <c r="B42" s="36">
        <v>6</v>
      </c>
      <c r="C42" s="38">
        <v>582</v>
      </c>
      <c r="D42" s="40">
        <v>340.444748358862</v>
      </c>
      <c r="E42" s="42">
        <v>52118.756000000001</v>
      </c>
    </row>
    <row r="43" spans="1:5" x14ac:dyDescent="0.2">
      <c r="A43" s="7" t="s">
        <v>90</v>
      </c>
      <c r="B43" s="35">
        <v>30</v>
      </c>
      <c r="C43" s="37">
        <v>807</v>
      </c>
      <c r="D43" s="39">
        <v>471.10698000000002</v>
      </c>
      <c r="E43" s="41">
        <v>68981.3496667</v>
      </c>
    </row>
    <row r="44" spans="1:5" x14ac:dyDescent="0.2">
      <c r="A44" s="620" t="s">
        <v>58</v>
      </c>
      <c r="B44" s="621"/>
      <c r="C44" s="621"/>
      <c r="D44" s="621"/>
      <c r="E44" s="621"/>
    </row>
    <row r="45" spans="1:5" x14ac:dyDescent="0.2">
      <c r="A45" s="601" t="s">
        <v>982</v>
      </c>
      <c r="B45" s="36">
        <v>18</v>
      </c>
      <c r="C45" s="38">
        <v>23</v>
      </c>
      <c r="D45" s="40">
        <v>8.9440919037199098</v>
      </c>
      <c r="E45" s="42">
        <v>233.953</v>
      </c>
    </row>
    <row r="46" spans="1:5" x14ac:dyDescent="0.2">
      <c r="A46" s="601" t="s">
        <v>983</v>
      </c>
      <c r="B46" s="36">
        <v>91</v>
      </c>
      <c r="C46" s="38">
        <v>142</v>
      </c>
      <c r="D46" s="40">
        <v>98.897921225382902</v>
      </c>
      <c r="E46" s="42">
        <v>4127.482</v>
      </c>
    </row>
    <row r="47" spans="1:5" x14ac:dyDescent="0.2">
      <c r="A47" s="601" t="s">
        <v>984</v>
      </c>
      <c r="B47" s="36">
        <v>28</v>
      </c>
      <c r="C47" s="38">
        <v>70</v>
      </c>
      <c r="D47" s="40">
        <v>59.5892778993435</v>
      </c>
      <c r="E47" s="42">
        <v>1361.46801</v>
      </c>
    </row>
    <row r="48" spans="1:5" x14ac:dyDescent="0.2">
      <c r="A48" s="601" t="s">
        <v>985</v>
      </c>
      <c r="B48" s="36">
        <v>10</v>
      </c>
      <c r="C48" s="38">
        <v>48</v>
      </c>
      <c r="D48" s="40">
        <v>32.949452954048098</v>
      </c>
      <c r="E48" s="42">
        <v>1102.509</v>
      </c>
    </row>
    <row r="49" spans="1:5" x14ac:dyDescent="0.2">
      <c r="A49" s="601" t="s">
        <v>986</v>
      </c>
      <c r="B49" s="36">
        <v>5</v>
      </c>
      <c r="C49" s="38">
        <v>32</v>
      </c>
      <c r="D49" s="40">
        <v>22.032385120350099</v>
      </c>
      <c r="E49" s="42">
        <v>534.34199999999998</v>
      </c>
    </row>
    <row r="50" spans="1:5" x14ac:dyDescent="0.2">
      <c r="A50" s="601" t="s">
        <v>991</v>
      </c>
      <c r="B50" s="36">
        <v>7</v>
      </c>
      <c r="C50" s="38">
        <v>82</v>
      </c>
      <c r="D50" s="40">
        <v>59.8977024070022</v>
      </c>
      <c r="E50" s="42">
        <v>1604.316</v>
      </c>
    </row>
    <row r="51" spans="1:5" ht="25.5" x14ac:dyDescent="0.2">
      <c r="A51" s="7" t="s">
        <v>91</v>
      </c>
      <c r="B51" s="35">
        <v>159</v>
      </c>
      <c r="C51" s="37">
        <v>397</v>
      </c>
      <c r="D51" s="39">
        <v>282.31083150984699</v>
      </c>
      <c r="E51" s="41">
        <v>8964.0700099999995</v>
      </c>
    </row>
    <row r="52" spans="1:5" ht="27.75" customHeight="1" x14ac:dyDescent="0.2">
      <c r="A52" s="608" t="s">
        <v>76</v>
      </c>
      <c r="B52" s="609"/>
      <c r="C52" s="609"/>
      <c r="D52" s="609"/>
      <c r="E52" s="609"/>
    </row>
    <row r="53" spans="1:5" ht="26.25" customHeight="1" x14ac:dyDescent="0.2">
      <c r="A53" s="608" t="s">
        <v>92</v>
      </c>
      <c r="B53" s="609"/>
      <c r="C53" s="609"/>
      <c r="D53" s="609"/>
      <c r="E53" s="609"/>
    </row>
    <row r="54" spans="1:5" x14ac:dyDescent="0.2">
      <c r="A54" s="608" t="s">
        <v>45</v>
      </c>
      <c r="B54" s="609"/>
      <c r="C54" s="609"/>
      <c r="D54" s="609"/>
      <c r="E54" s="609"/>
    </row>
    <row r="55" spans="1:5" ht="47.25" customHeight="1" x14ac:dyDescent="0.2">
      <c r="A55" s="608" t="s">
        <v>93</v>
      </c>
      <c r="B55" s="609"/>
      <c r="C55" s="609"/>
      <c r="D55" s="609"/>
      <c r="E55" s="609"/>
    </row>
    <row r="56" spans="1:5" x14ac:dyDescent="0.2">
      <c r="A56" s="610" t="s">
        <v>46</v>
      </c>
      <c r="B56" s="609"/>
      <c r="C56" s="609"/>
      <c r="D56" s="609"/>
      <c r="E56" s="609"/>
    </row>
  </sheetData>
  <mergeCells count="12">
    <mergeCell ref="G1:I2"/>
    <mergeCell ref="A1:E1"/>
    <mergeCell ref="A52:E52"/>
    <mergeCell ref="A53:E53"/>
    <mergeCell ref="A54:E54"/>
    <mergeCell ref="A55:E55"/>
    <mergeCell ref="A56:E56"/>
    <mergeCell ref="A5:E5"/>
    <mergeCell ref="A17:E17"/>
    <mergeCell ref="A28:E28"/>
    <mergeCell ref="A37:E37"/>
    <mergeCell ref="A44:E44"/>
  </mergeCells>
  <pageMargins left="0.6" right="0.79" top="0.79" bottom="1.06" header="0.3" footer="0.3"/>
  <pageSetup paperSize="9" fitToWidth="0" fitToHeight="0"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A11" sqref="A11:H12"/>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612" t="s">
        <v>94</v>
      </c>
      <c r="B1" s="609"/>
      <c r="C1" s="609"/>
      <c r="D1" s="609"/>
      <c r="E1" s="609"/>
      <c r="F1" s="609"/>
      <c r="G1" s="609"/>
      <c r="H1" s="609"/>
      <c r="J1" s="611" t="str">
        <f>HYPERLINK("#'sommaire'!A1", "Retour sommaire")</f>
        <v>Retour sommaire</v>
      </c>
      <c r="K1" s="609"/>
      <c r="L1" s="609"/>
    </row>
    <row r="2" spans="1:12" x14ac:dyDescent="0.2">
      <c r="J2" s="609"/>
      <c r="K2" s="609"/>
      <c r="L2" s="609"/>
    </row>
    <row r="3" spans="1:12" ht="51" x14ac:dyDescent="0.2">
      <c r="A3" s="4" t="s">
        <v>95</v>
      </c>
      <c r="B3" s="4" t="s">
        <v>82</v>
      </c>
      <c r="C3" s="4" t="s">
        <v>96</v>
      </c>
      <c r="D3" s="4" t="s">
        <v>97</v>
      </c>
      <c r="E3" s="4" t="s">
        <v>98</v>
      </c>
      <c r="F3" s="4" t="s">
        <v>99</v>
      </c>
      <c r="G3" s="4" t="s">
        <v>100</v>
      </c>
      <c r="H3" s="4" t="s">
        <v>101</v>
      </c>
    </row>
    <row r="4" spans="1:12" ht="25.5" x14ac:dyDescent="0.2">
      <c r="A4" s="5"/>
      <c r="B4" s="5" t="s">
        <v>24</v>
      </c>
      <c r="C4" s="613" t="s">
        <v>86</v>
      </c>
      <c r="D4" s="613" t="s">
        <v>86</v>
      </c>
      <c r="E4" s="613" t="s">
        <v>86</v>
      </c>
      <c r="F4" s="613" t="s">
        <v>102</v>
      </c>
      <c r="G4" s="613" t="s">
        <v>102</v>
      </c>
      <c r="H4" s="613" t="s">
        <v>102</v>
      </c>
    </row>
    <row r="5" spans="1:12" ht="38.25" x14ac:dyDescent="0.2">
      <c r="A5" s="17" t="s">
        <v>69</v>
      </c>
      <c r="B5" s="44">
        <v>2542</v>
      </c>
      <c r="C5" s="46">
        <v>8524</v>
      </c>
      <c r="D5" s="48">
        <v>8341</v>
      </c>
      <c r="E5" s="50">
        <v>16865</v>
      </c>
      <c r="F5" s="52">
        <v>8951.5333260393909</v>
      </c>
      <c r="G5" s="54">
        <v>3.52145292133729</v>
      </c>
      <c r="H5" s="56">
        <v>2.33916849015317</v>
      </c>
    </row>
    <row r="6" spans="1:12" ht="38.25" x14ac:dyDescent="0.2">
      <c r="A6" s="17" t="s">
        <v>70</v>
      </c>
      <c r="B6" s="44">
        <v>345</v>
      </c>
      <c r="C6" s="46">
        <v>1377</v>
      </c>
      <c r="D6" s="48">
        <v>477</v>
      </c>
      <c r="E6" s="50">
        <v>1854</v>
      </c>
      <c r="F6" s="52">
        <v>1446.8545295404799</v>
      </c>
      <c r="G6" s="54">
        <v>4.1937812450448702</v>
      </c>
      <c r="H6" s="56">
        <v>2</v>
      </c>
    </row>
    <row r="7" spans="1:12" ht="25.5" x14ac:dyDescent="0.2">
      <c r="A7" s="17" t="s">
        <v>72</v>
      </c>
      <c r="B7" s="44">
        <v>30</v>
      </c>
      <c r="C7" s="46">
        <v>499</v>
      </c>
      <c r="D7" s="48">
        <v>308</v>
      </c>
      <c r="E7" s="50">
        <v>807</v>
      </c>
      <c r="F7" s="52">
        <v>471.10698030634597</v>
      </c>
      <c r="G7" s="54">
        <v>15.7035660102115</v>
      </c>
      <c r="H7" s="56">
        <v>5.29693654266958</v>
      </c>
    </row>
    <row r="8" spans="1:12" ht="25.5" x14ac:dyDescent="0.2">
      <c r="A8" s="17" t="s">
        <v>71</v>
      </c>
      <c r="B8" s="44">
        <v>219</v>
      </c>
      <c r="C8" s="46">
        <v>362</v>
      </c>
      <c r="D8" s="48">
        <v>188</v>
      </c>
      <c r="E8" s="50">
        <v>550</v>
      </c>
      <c r="F8" s="52">
        <v>222.255120350109</v>
      </c>
      <c r="G8" s="54">
        <v>1.07890835121412</v>
      </c>
      <c r="H8" s="56">
        <v>0.82193654266958405</v>
      </c>
    </row>
    <row r="9" spans="1:12" ht="38.25" x14ac:dyDescent="0.2">
      <c r="A9" s="17" t="s">
        <v>73</v>
      </c>
      <c r="B9" s="44">
        <v>159</v>
      </c>
      <c r="C9" s="46">
        <v>300</v>
      </c>
      <c r="D9" s="48">
        <v>97</v>
      </c>
      <c r="E9" s="50">
        <v>397</v>
      </c>
      <c r="F9" s="52">
        <v>282.31083150984699</v>
      </c>
      <c r="G9" s="54">
        <v>1.77553982081665</v>
      </c>
      <c r="H9" s="56">
        <v>1</v>
      </c>
    </row>
    <row r="10" spans="1:12" x14ac:dyDescent="0.2">
      <c r="A10" s="6" t="s">
        <v>75</v>
      </c>
      <c r="B10" s="43">
        <v>3295</v>
      </c>
      <c r="C10" s="45">
        <v>11062</v>
      </c>
      <c r="D10" s="47">
        <v>9411</v>
      </c>
      <c r="E10" s="49">
        <v>20473</v>
      </c>
      <c r="F10" s="51">
        <v>11374.060787746201</v>
      </c>
      <c r="G10" s="53">
        <v>3.4655882960835398</v>
      </c>
      <c r="H10" s="55">
        <v>2.0016411378555801</v>
      </c>
    </row>
    <row r="11" spans="1:12" ht="70.5" customHeight="1" x14ac:dyDescent="0.2">
      <c r="A11" s="608" t="s">
        <v>977</v>
      </c>
      <c r="B11" s="609"/>
      <c r="C11" s="609"/>
      <c r="D11" s="609"/>
      <c r="E11" s="609"/>
      <c r="F11" s="609"/>
      <c r="G11" s="609"/>
      <c r="H11" s="609"/>
    </row>
    <row r="12" spans="1:12" s="596" customFormat="1" x14ac:dyDescent="0.2">
      <c r="A12" s="608" t="s">
        <v>976</v>
      </c>
      <c r="B12" s="609"/>
      <c r="C12" s="609"/>
      <c r="D12" s="609"/>
      <c r="E12" s="609"/>
      <c r="F12" s="609"/>
      <c r="G12" s="609"/>
      <c r="H12" s="609"/>
    </row>
    <row r="13" spans="1:12" s="596" customFormat="1" ht="20.25" customHeight="1" x14ac:dyDescent="0.2">
      <c r="A13" s="595"/>
    </row>
    <row r="14" spans="1:12" x14ac:dyDescent="0.2">
      <c r="A14" s="608" t="s">
        <v>103</v>
      </c>
      <c r="B14" s="609"/>
      <c r="C14" s="609"/>
      <c r="D14" s="609"/>
      <c r="E14" s="609"/>
      <c r="F14" s="609"/>
      <c r="G14" s="609"/>
      <c r="H14" s="609"/>
    </row>
    <row r="15" spans="1:12" x14ac:dyDescent="0.2">
      <c r="A15" s="608" t="s">
        <v>104</v>
      </c>
      <c r="B15" s="609"/>
      <c r="C15" s="609"/>
      <c r="D15" s="609"/>
      <c r="E15" s="609"/>
      <c r="F15" s="609"/>
      <c r="G15" s="609"/>
      <c r="H15" s="609"/>
    </row>
    <row r="16" spans="1:12" x14ac:dyDescent="0.2">
      <c r="A16" s="608" t="s">
        <v>105</v>
      </c>
      <c r="B16" s="609"/>
      <c r="C16" s="609"/>
      <c r="D16" s="609"/>
      <c r="E16" s="609"/>
      <c r="F16" s="609"/>
      <c r="G16" s="609"/>
      <c r="H16" s="609"/>
    </row>
    <row r="17" spans="1:8" x14ac:dyDescent="0.2">
      <c r="A17" s="608" t="s">
        <v>106</v>
      </c>
      <c r="B17" s="609"/>
      <c r="C17" s="609"/>
      <c r="D17" s="609"/>
      <c r="E17" s="609"/>
      <c r="F17" s="609"/>
      <c r="G17" s="609"/>
      <c r="H17" s="609"/>
    </row>
    <row r="18" spans="1:8" ht="34.5" customHeight="1" x14ac:dyDescent="0.2">
      <c r="A18" s="610" t="s">
        <v>46</v>
      </c>
      <c r="B18" s="609"/>
      <c r="C18" s="609"/>
      <c r="D18" s="609"/>
      <c r="E18" s="609"/>
      <c r="F18" s="609"/>
      <c r="G18" s="609"/>
      <c r="H18" s="609"/>
    </row>
  </sheetData>
  <mergeCells count="11">
    <mergeCell ref="J1:L2"/>
    <mergeCell ref="A1:H1"/>
    <mergeCell ref="A11:H11"/>
    <mergeCell ref="A14:H14"/>
    <mergeCell ref="A15:H15"/>
    <mergeCell ref="A16:H16"/>
    <mergeCell ref="A17:H17"/>
    <mergeCell ref="A18:H18"/>
    <mergeCell ref="C4:E4"/>
    <mergeCell ref="F4:H4"/>
    <mergeCell ref="A12:H12"/>
  </mergeCells>
  <pageMargins left="0.6" right="0.79" top="0.79" bottom="1.06" header="0.3" footer="0.3"/>
  <pageSetup paperSize="9" fitToWidth="0" fitToHeight="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A13" sqref="A13:H13"/>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612" t="s">
        <v>978</v>
      </c>
      <c r="B1" s="609"/>
      <c r="C1" s="609"/>
      <c r="D1" s="609"/>
      <c r="E1" s="609"/>
      <c r="F1" s="609"/>
      <c r="G1" s="609"/>
      <c r="H1" s="609"/>
      <c r="J1" s="611" t="str">
        <f>HYPERLINK("#'sommaire'!A1", "Retour sommaire")</f>
        <v>Retour sommaire</v>
      </c>
      <c r="K1" s="609"/>
      <c r="L1" s="609"/>
    </row>
    <row r="2" spans="1:12" x14ac:dyDescent="0.2">
      <c r="J2" s="609"/>
      <c r="K2" s="609"/>
      <c r="L2" s="609"/>
    </row>
    <row r="3" spans="1:12" ht="51" x14ac:dyDescent="0.2">
      <c r="A3" s="4" t="s">
        <v>107</v>
      </c>
      <c r="B3" s="4" t="s">
        <v>82</v>
      </c>
      <c r="C3" s="4" t="s">
        <v>96</v>
      </c>
      <c r="D3" s="4" t="s">
        <v>97</v>
      </c>
      <c r="E3" s="4" t="s">
        <v>98</v>
      </c>
      <c r="F3" s="4" t="s">
        <v>99</v>
      </c>
      <c r="G3" s="4" t="s">
        <v>100</v>
      </c>
      <c r="H3" s="4" t="s">
        <v>101</v>
      </c>
    </row>
    <row r="4" spans="1:12" ht="25.5" x14ac:dyDescent="0.2">
      <c r="A4" s="5"/>
      <c r="B4" s="5" t="s">
        <v>24</v>
      </c>
      <c r="C4" s="613" t="s">
        <v>86</v>
      </c>
      <c r="D4" s="613" t="s">
        <v>86</v>
      </c>
      <c r="E4" s="613" t="s">
        <v>86</v>
      </c>
      <c r="F4" s="613" t="s">
        <v>102</v>
      </c>
      <c r="G4" s="613" t="s">
        <v>102</v>
      </c>
      <c r="H4" s="613" t="s">
        <v>102</v>
      </c>
    </row>
    <row r="5" spans="1:12" ht="25.5" x14ac:dyDescent="0.2">
      <c r="A5" s="17" t="s">
        <v>108</v>
      </c>
      <c r="B5" s="58">
        <v>307</v>
      </c>
      <c r="C5" s="60">
        <v>1379</v>
      </c>
      <c r="D5" s="62">
        <v>1363</v>
      </c>
      <c r="E5" s="64">
        <v>2742</v>
      </c>
      <c r="F5" s="66">
        <v>1462.9793216630201</v>
      </c>
      <c r="G5" s="68">
        <v>4.7654049565570702</v>
      </c>
      <c r="H5" s="70">
        <v>3.1563457330415798</v>
      </c>
    </row>
    <row r="6" spans="1:12" x14ac:dyDescent="0.2">
      <c r="A6" s="17" t="s">
        <v>109</v>
      </c>
      <c r="B6" s="58">
        <v>227</v>
      </c>
      <c r="C6" s="60">
        <v>1011</v>
      </c>
      <c r="D6" s="62">
        <v>1228</v>
      </c>
      <c r="E6" s="64">
        <v>2239</v>
      </c>
      <c r="F6" s="66">
        <v>1147.2886652078801</v>
      </c>
      <c r="G6" s="68">
        <v>5.0541350890214902</v>
      </c>
      <c r="H6" s="70">
        <v>4.1028446389496702</v>
      </c>
    </row>
    <row r="7" spans="1:12" x14ac:dyDescent="0.2">
      <c r="A7" s="17" t="s">
        <v>110</v>
      </c>
      <c r="B7" s="58">
        <v>369</v>
      </c>
      <c r="C7" s="60">
        <v>1095</v>
      </c>
      <c r="D7" s="62">
        <v>802</v>
      </c>
      <c r="E7" s="64">
        <v>1897</v>
      </c>
      <c r="F7" s="66">
        <v>1159.8016849015301</v>
      </c>
      <c r="G7" s="68">
        <v>3.14309399702312</v>
      </c>
      <c r="H7" s="70">
        <v>2.2000000000000002</v>
      </c>
    </row>
    <row r="8" spans="1:12" x14ac:dyDescent="0.2">
      <c r="A8" s="17" t="s">
        <v>111</v>
      </c>
      <c r="B8" s="58">
        <v>236</v>
      </c>
      <c r="C8" s="60">
        <v>843</v>
      </c>
      <c r="D8" s="62">
        <v>1287</v>
      </c>
      <c r="E8" s="64">
        <v>2130</v>
      </c>
      <c r="F8" s="66">
        <v>857.82711159737403</v>
      </c>
      <c r="G8" s="68">
        <v>3.63486064236176</v>
      </c>
      <c r="H8" s="70">
        <v>2.5703282275711201</v>
      </c>
    </row>
    <row r="9" spans="1:12" ht="25.5" x14ac:dyDescent="0.2">
      <c r="A9" s="17" t="s">
        <v>112</v>
      </c>
      <c r="B9" s="58">
        <v>688</v>
      </c>
      <c r="C9" s="60">
        <v>2458</v>
      </c>
      <c r="D9" s="62">
        <v>2917</v>
      </c>
      <c r="E9" s="64">
        <v>5375</v>
      </c>
      <c r="F9" s="66">
        <v>2576.9543763676102</v>
      </c>
      <c r="G9" s="68">
        <v>3.7455732214645598</v>
      </c>
      <c r="H9" s="70">
        <v>2.3271334792122498</v>
      </c>
    </row>
    <row r="10" spans="1:12" ht="25.5" x14ac:dyDescent="0.2">
      <c r="A10" s="17" t="s">
        <v>113</v>
      </c>
      <c r="B10" s="58">
        <v>269</v>
      </c>
      <c r="C10" s="60">
        <v>653</v>
      </c>
      <c r="D10" s="62">
        <v>355</v>
      </c>
      <c r="E10" s="64">
        <v>1008</v>
      </c>
      <c r="F10" s="66">
        <v>643.45781181619304</v>
      </c>
      <c r="G10" s="68">
        <v>2.3920364751531298</v>
      </c>
      <c r="H10" s="70">
        <v>2</v>
      </c>
    </row>
    <row r="11" spans="1:12" x14ac:dyDescent="0.2">
      <c r="A11" s="17" t="s">
        <v>114</v>
      </c>
      <c r="B11" s="58">
        <v>446</v>
      </c>
      <c r="C11" s="60">
        <v>1085</v>
      </c>
      <c r="D11" s="62">
        <v>389</v>
      </c>
      <c r="E11" s="64">
        <v>1474</v>
      </c>
      <c r="F11" s="66">
        <v>1103.2243544857799</v>
      </c>
      <c r="G11" s="68">
        <v>2.4735972073672099</v>
      </c>
      <c r="H11" s="70">
        <v>1.5</v>
      </c>
    </row>
    <row r="12" spans="1:12" x14ac:dyDescent="0.2">
      <c r="A12" s="6" t="s">
        <v>75</v>
      </c>
      <c r="B12" s="57">
        <v>2542</v>
      </c>
      <c r="C12" s="59">
        <v>8524</v>
      </c>
      <c r="D12" s="61">
        <v>8341</v>
      </c>
      <c r="E12" s="63">
        <v>16865</v>
      </c>
      <c r="F12" s="65">
        <v>8951.5333260393909</v>
      </c>
      <c r="G12" s="67">
        <v>3.52145292133729</v>
      </c>
      <c r="H12" s="69">
        <v>2.33916849015317</v>
      </c>
    </row>
    <row r="13" spans="1:12" ht="66" customHeight="1" x14ac:dyDescent="0.2">
      <c r="A13" s="608" t="s">
        <v>977</v>
      </c>
      <c r="B13" s="609"/>
      <c r="C13" s="609"/>
      <c r="D13" s="609"/>
      <c r="E13" s="609"/>
      <c r="F13" s="609"/>
      <c r="G13" s="609"/>
      <c r="H13" s="609"/>
    </row>
    <row r="14" spans="1:12" ht="30" customHeight="1" x14ac:dyDescent="0.2">
      <c r="A14" s="608" t="s">
        <v>115</v>
      </c>
      <c r="B14" s="609"/>
      <c r="C14" s="609"/>
      <c r="D14" s="609"/>
      <c r="E14" s="609"/>
      <c r="F14" s="609"/>
      <c r="G14" s="609"/>
      <c r="H14" s="609"/>
    </row>
    <row r="15" spans="1:12" x14ac:dyDescent="0.2">
      <c r="A15" s="608" t="s">
        <v>116</v>
      </c>
      <c r="B15" s="609"/>
      <c r="C15" s="609"/>
      <c r="D15" s="609"/>
      <c r="E15" s="609"/>
      <c r="F15" s="609"/>
      <c r="G15" s="609"/>
      <c r="H15" s="609"/>
    </row>
    <row r="16" spans="1:12" x14ac:dyDescent="0.2">
      <c r="A16" s="608" t="s">
        <v>117</v>
      </c>
      <c r="B16" s="609"/>
      <c r="C16" s="609"/>
      <c r="D16" s="609"/>
      <c r="E16" s="609"/>
      <c r="F16" s="609"/>
      <c r="G16" s="609"/>
      <c r="H16" s="609"/>
    </row>
    <row r="17" spans="1:8" x14ac:dyDescent="0.2">
      <c r="A17" s="608" t="s">
        <v>118</v>
      </c>
      <c r="B17" s="609"/>
      <c r="C17" s="609"/>
      <c r="D17" s="609"/>
      <c r="E17" s="609"/>
      <c r="F17" s="609"/>
      <c r="G17" s="609"/>
      <c r="H17" s="609"/>
    </row>
    <row r="18" spans="1:8" x14ac:dyDescent="0.2">
      <c r="A18" s="608" t="s">
        <v>119</v>
      </c>
      <c r="B18" s="609"/>
      <c r="C18" s="609"/>
      <c r="D18" s="609"/>
      <c r="E18" s="609"/>
      <c r="F18" s="609"/>
      <c r="G18" s="609"/>
      <c r="H18" s="609"/>
    </row>
    <row r="19" spans="1:8" x14ac:dyDescent="0.2">
      <c r="A19" s="608" t="s">
        <v>120</v>
      </c>
      <c r="B19" s="609"/>
      <c r="C19" s="609"/>
      <c r="D19" s="609"/>
      <c r="E19" s="609"/>
      <c r="F19" s="609"/>
      <c r="G19" s="609"/>
      <c r="H19" s="609"/>
    </row>
    <row r="20" spans="1:8" x14ac:dyDescent="0.2">
      <c r="A20" s="608" t="s">
        <v>121</v>
      </c>
      <c r="B20" s="609"/>
      <c r="C20" s="609"/>
      <c r="D20" s="609"/>
      <c r="E20" s="609"/>
      <c r="F20" s="609"/>
      <c r="G20" s="609"/>
      <c r="H20" s="609"/>
    </row>
    <row r="21" spans="1:8" x14ac:dyDescent="0.2">
      <c r="A21" s="608" t="s">
        <v>122</v>
      </c>
      <c r="B21" s="609"/>
      <c r="C21" s="609"/>
      <c r="D21" s="609"/>
      <c r="E21" s="609"/>
      <c r="F21" s="609"/>
      <c r="G21" s="609"/>
      <c r="H21" s="609"/>
    </row>
    <row r="22" spans="1:8" x14ac:dyDescent="0.2">
      <c r="A22" s="608" t="s">
        <v>123</v>
      </c>
      <c r="B22" s="609"/>
      <c r="C22" s="609"/>
      <c r="D22" s="609"/>
      <c r="E22" s="609"/>
      <c r="F22" s="609"/>
      <c r="G22" s="609"/>
      <c r="H22" s="609"/>
    </row>
    <row r="23" spans="1:8" x14ac:dyDescent="0.2">
      <c r="A23" s="610" t="s">
        <v>124</v>
      </c>
      <c r="B23" s="609"/>
      <c r="C23" s="609"/>
      <c r="D23" s="609"/>
      <c r="E23" s="609"/>
      <c r="F23" s="609"/>
      <c r="G23" s="609"/>
      <c r="H23" s="609"/>
    </row>
  </sheetData>
  <mergeCells count="15">
    <mergeCell ref="J1:L2"/>
    <mergeCell ref="A1:H1"/>
    <mergeCell ref="A14:H14"/>
    <mergeCell ref="A15:H15"/>
    <mergeCell ref="A16:H16"/>
    <mergeCell ref="A22:H22"/>
    <mergeCell ref="A23:H23"/>
    <mergeCell ref="C4:E4"/>
    <mergeCell ref="F4:H4"/>
    <mergeCell ref="A17:H17"/>
    <mergeCell ref="A18:H18"/>
    <mergeCell ref="A19:H19"/>
    <mergeCell ref="A20:H20"/>
    <mergeCell ref="A21:H21"/>
    <mergeCell ref="A13:H13"/>
  </mergeCells>
  <pageMargins left="0.6" right="0.79" top="0.79" bottom="1.06" header="0.3" footer="0.3"/>
  <pageSetup paperSize="9" fitToWidth="0" fitToHeight="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A19" sqref="A19:H19"/>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612" t="s">
        <v>979</v>
      </c>
      <c r="B1" s="609"/>
      <c r="C1" s="609"/>
      <c r="D1" s="609"/>
      <c r="E1" s="609"/>
      <c r="F1" s="609"/>
      <c r="G1" s="609"/>
      <c r="H1" s="609"/>
      <c r="J1" s="611" t="str">
        <f>HYPERLINK("#'sommaire'!A1", "Retour sommaire")</f>
        <v>Retour sommaire</v>
      </c>
      <c r="K1" s="609"/>
      <c r="L1" s="609"/>
    </row>
    <row r="2" spans="1:12" x14ac:dyDescent="0.2">
      <c r="J2" s="609"/>
      <c r="K2" s="609"/>
      <c r="L2" s="609"/>
    </row>
    <row r="3" spans="1:12" ht="51" x14ac:dyDescent="0.2">
      <c r="A3" s="4" t="s">
        <v>107</v>
      </c>
      <c r="B3" s="4" t="s">
        <v>82</v>
      </c>
      <c r="C3" s="4" t="s">
        <v>96</v>
      </c>
      <c r="D3" s="4" t="s">
        <v>97</v>
      </c>
      <c r="E3" s="4" t="s">
        <v>98</v>
      </c>
      <c r="F3" s="4" t="s">
        <v>99</v>
      </c>
      <c r="G3" s="4" t="s">
        <v>100</v>
      </c>
      <c r="H3" s="4" t="s">
        <v>101</v>
      </c>
    </row>
    <row r="4" spans="1:12" ht="25.5" x14ac:dyDescent="0.2">
      <c r="A4" s="5"/>
      <c r="B4" s="5" t="s">
        <v>24</v>
      </c>
      <c r="C4" s="613" t="s">
        <v>86</v>
      </c>
      <c r="D4" s="613" t="s">
        <v>86</v>
      </c>
      <c r="E4" s="613" t="s">
        <v>86</v>
      </c>
      <c r="F4" s="613" t="s">
        <v>102</v>
      </c>
      <c r="G4" s="613" t="s">
        <v>102</v>
      </c>
      <c r="H4" s="613" t="s">
        <v>102</v>
      </c>
    </row>
    <row r="5" spans="1:12" ht="25.5" x14ac:dyDescent="0.2">
      <c r="A5" s="17" t="s">
        <v>125</v>
      </c>
      <c r="B5" s="72">
        <v>95</v>
      </c>
      <c r="C5" s="74">
        <v>263</v>
      </c>
      <c r="D5" s="76">
        <v>95</v>
      </c>
      <c r="E5" s="78">
        <v>358</v>
      </c>
      <c r="F5" s="80">
        <v>218.50269146608301</v>
      </c>
      <c r="G5" s="82">
        <f>F5/B5</f>
        <v>2.3000283312219265</v>
      </c>
      <c r="H5" s="84">
        <v>1</v>
      </c>
    </row>
    <row r="6" spans="1:12" ht="25.5" x14ac:dyDescent="0.2">
      <c r="A6" s="17" t="s">
        <v>126</v>
      </c>
      <c r="B6" s="72">
        <v>44</v>
      </c>
      <c r="C6" s="74">
        <v>97</v>
      </c>
      <c r="D6" s="76">
        <v>19</v>
      </c>
      <c r="E6" s="78">
        <v>116</v>
      </c>
      <c r="F6" s="80">
        <v>77.657221006564598</v>
      </c>
      <c r="G6" s="580">
        <f t="shared" ref="G6:G17" si="0">F6/B6</f>
        <v>1.7649368410582864</v>
      </c>
      <c r="H6" s="84">
        <v>1.2</v>
      </c>
      <c r="J6" s="577"/>
    </row>
    <row r="7" spans="1:12" x14ac:dyDescent="0.2">
      <c r="A7" s="17" t="s">
        <v>127</v>
      </c>
      <c r="B7" s="72">
        <v>32</v>
      </c>
      <c r="C7" s="74">
        <v>130</v>
      </c>
      <c r="D7" s="76">
        <v>36</v>
      </c>
      <c r="E7" s="78">
        <v>166</v>
      </c>
      <c r="F7" s="80">
        <v>117.110612691466</v>
      </c>
      <c r="G7" s="580">
        <f t="shared" si="0"/>
        <v>3.6597066466083126</v>
      </c>
      <c r="H7" s="84">
        <v>2.3938730853391701</v>
      </c>
      <c r="J7" s="577"/>
    </row>
    <row r="8" spans="1:12" ht="25.5" x14ac:dyDescent="0.2">
      <c r="A8" s="17" t="s">
        <v>128</v>
      </c>
      <c r="B8" s="72">
        <v>44</v>
      </c>
      <c r="C8" s="74">
        <v>97</v>
      </c>
      <c r="D8" s="76">
        <v>86</v>
      </c>
      <c r="E8" s="78">
        <v>183</v>
      </c>
      <c r="F8" s="80">
        <v>70.061422319474801</v>
      </c>
      <c r="G8" s="580">
        <f t="shared" si="0"/>
        <v>1.5923050527153364</v>
      </c>
      <c r="H8" s="84">
        <v>1</v>
      </c>
      <c r="J8" s="577"/>
    </row>
    <row r="9" spans="1:12" x14ac:dyDescent="0.2">
      <c r="A9" s="17" t="s">
        <v>129</v>
      </c>
      <c r="B9" s="72">
        <v>7</v>
      </c>
      <c r="C9" s="74">
        <v>57</v>
      </c>
      <c r="D9" s="76">
        <v>91</v>
      </c>
      <c r="E9" s="78">
        <v>148</v>
      </c>
      <c r="F9" s="80">
        <v>69.123194748358898</v>
      </c>
      <c r="G9" s="580">
        <f t="shared" si="0"/>
        <v>9.874742106908414</v>
      </c>
      <c r="H9" s="84">
        <v>2.9</v>
      </c>
      <c r="J9" s="577"/>
    </row>
    <row r="10" spans="1:12" x14ac:dyDescent="0.2">
      <c r="A10" s="17" t="s">
        <v>130</v>
      </c>
      <c r="B10" s="72">
        <v>70</v>
      </c>
      <c r="C10" s="74">
        <v>164</v>
      </c>
      <c r="D10" s="76">
        <v>44</v>
      </c>
      <c r="E10" s="78">
        <v>208</v>
      </c>
      <c r="F10" s="80">
        <v>124.519584245077</v>
      </c>
      <c r="G10" s="580">
        <f t="shared" si="0"/>
        <v>1.7788512035010999</v>
      </c>
      <c r="H10" s="84">
        <v>1</v>
      </c>
      <c r="J10" s="577"/>
    </row>
    <row r="11" spans="1:12" x14ac:dyDescent="0.2">
      <c r="A11" s="17" t="s">
        <v>131</v>
      </c>
      <c r="B11" s="72">
        <v>30</v>
      </c>
      <c r="C11" s="74">
        <v>255</v>
      </c>
      <c r="D11" s="76">
        <v>181</v>
      </c>
      <c r="E11" s="78">
        <v>436</v>
      </c>
      <c r="F11" s="80">
        <v>263.80251641137897</v>
      </c>
      <c r="G11" s="580">
        <f t="shared" si="0"/>
        <v>8.7934172137126332</v>
      </c>
      <c r="H11" s="84">
        <v>3.10634573304158</v>
      </c>
      <c r="J11" s="577"/>
    </row>
    <row r="12" spans="1:12" x14ac:dyDescent="0.2">
      <c r="A12" s="17" t="s">
        <v>132</v>
      </c>
      <c r="B12" s="72">
        <v>11</v>
      </c>
      <c r="C12" s="74">
        <v>23</v>
      </c>
      <c r="D12" s="76">
        <v>3</v>
      </c>
      <c r="E12" s="78">
        <v>26</v>
      </c>
      <c r="F12" s="80">
        <v>16.028227571115998</v>
      </c>
      <c r="G12" s="580">
        <f t="shared" si="0"/>
        <v>1.4571115973741817</v>
      </c>
      <c r="H12" s="84">
        <v>1</v>
      </c>
      <c r="J12" s="577"/>
    </row>
    <row r="13" spans="1:12" x14ac:dyDescent="0.2">
      <c r="A13" s="17" t="s">
        <v>133</v>
      </c>
      <c r="B13" s="72">
        <v>38</v>
      </c>
      <c r="C13" s="74">
        <v>124</v>
      </c>
      <c r="D13" s="76">
        <v>22</v>
      </c>
      <c r="E13" s="78">
        <v>146</v>
      </c>
      <c r="F13" s="80">
        <v>121.33052516411399</v>
      </c>
      <c r="G13" s="580">
        <f t="shared" si="0"/>
        <v>3.1929085569503681</v>
      </c>
      <c r="H13" s="84">
        <v>2</v>
      </c>
      <c r="J13" s="577"/>
    </row>
    <row r="14" spans="1:12" ht="25.5" x14ac:dyDescent="0.2">
      <c r="A14" s="17" t="s">
        <v>134</v>
      </c>
      <c r="B14" s="72">
        <v>118</v>
      </c>
      <c r="C14" s="74">
        <v>563</v>
      </c>
      <c r="D14" s="76">
        <v>260</v>
      </c>
      <c r="E14" s="78">
        <v>823</v>
      </c>
      <c r="F14" s="80">
        <v>678.74026258205697</v>
      </c>
      <c r="G14" s="580">
        <f t="shared" si="0"/>
        <v>5.7520361235767536</v>
      </c>
      <c r="H14" s="84">
        <v>2</v>
      </c>
      <c r="J14" s="577"/>
    </row>
    <row r="15" spans="1:12" x14ac:dyDescent="0.2">
      <c r="A15" s="17" t="s">
        <v>135</v>
      </c>
      <c r="B15" s="72">
        <v>62</v>
      </c>
      <c r="C15" s="74">
        <v>243</v>
      </c>
      <c r="D15" s="76">
        <v>35</v>
      </c>
      <c r="E15" s="78">
        <v>278</v>
      </c>
      <c r="F15" s="80">
        <v>219.60680525164099</v>
      </c>
      <c r="G15" s="580">
        <f t="shared" si="0"/>
        <v>3.5420452459942093</v>
      </c>
      <c r="H15" s="84">
        <v>1.5689277899343499</v>
      </c>
      <c r="J15" s="577"/>
    </row>
    <row r="16" spans="1:12" x14ac:dyDescent="0.2">
      <c r="A16" s="17" t="s">
        <v>111</v>
      </c>
      <c r="B16" s="72">
        <v>21</v>
      </c>
      <c r="C16" s="74">
        <v>146</v>
      </c>
      <c r="D16" s="76">
        <v>97</v>
      </c>
      <c r="E16" s="78">
        <v>243</v>
      </c>
      <c r="F16" s="80">
        <v>100.926389496718</v>
      </c>
      <c r="G16" s="580">
        <f t="shared" si="0"/>
        <v>4.8060185474627621</v>
      </c>
      <c r="H16" s="84">
        <v>1.17505470459519</v>
      </c>
      <c r="J16" s="577"/>
    </row>
    <row r="17" spans="1:10" ht="25.5" x14ac:dyDescent="0.2">
      <c r="A17" s="17" t="s">
        <v>136</v>
      </c>
      <c r="B17" s="72">
        <v>22</v>
      </c>
      <c r="C17" s="74">
        <v>76</v>
      </c>
      <c r="D17" s="76">
        <v>4</v>
      </c>
      <c r="E17" s="78">
        <v>80</v>
      </c>
      <c r="F17" s="80">
        <v>62.8071772428884</v>
      </c>
      <c r="G17" s="580">
        <f t="shared" si="0"/>
        <v>2.8548716928585636</v>
      </c>
      <c r="H17" s="84">
        <v>2.02</v>
      </c>
      <c r="J17" s="577"/>
    </row>
    <row r="18" spans="1:10" x14ac:dyDescent="0.2">
      <c r="A18" s="6" t="s">
        <v>75</v>
      </c>
      <c r="B18" s="71">
        <v>594</v>
      </c>
      <c r="C18" s="73">
        <v>2238</v>
      </c>
      <c r="D18" s="75">
        <v>973</v>
      </c>
      <c r="E18" s="77">
        <v>3211</v>
      </c>
      <c r="F18" s="79">
        <v>2140.2166301969401</v>
      </c>
      <c r="G18" s="81">
        <f>F18/B18</f>
        <v>3.6030582999948484</v>
      </c>
      <c r="H18" s="83">
        <v>1.23</v>
      </c>
      <c r="J18" s="577"/>
    </row>
    <row r="19" spans="1:10" ht="67.5" customHeight="1" x14ac:dyDescent="0.2">
      <c r="A19" s="608" t="s">
        <v>977</v>
      </c>
      <c r="B19" s="609"/>
      <c r="C19" s="609"/>
      <c r="D19" s="609"/>
      <c r="E19" s="609"/>
      <c r="F19" s="609"/>
      <c r="G19" s="609"/>
      <c r="H19" s="609"/>
    </row>
    <row r="20" spans="1:10" x14ac:dyDescent="0.2">
      <c r="A20" s="608" t="s">
        <v>137</v>
      </c>
      <c r="B20" s="609"/>
      <c r="C20" s="609"/>
      <c r="D20" s="609"/>
      <c r="E20" s="609"/>
      <c r="F20" s="609"/>
      <c r="G20" s="609"/>
      <c r="H20" s="609"/>
    </row>
    <row r="21" spans="1:10" x14ac:dyDescent="0.2">
      <c r="A21" s="610" t="s">
        <v>138</v>
      </c>
      <c r="B21" s="609"/>
      <c r="C21" s="609"/>
      <c r="D21" s="609"/>
      <c r="E21" s="609"/>
      <c r="F21" s="609"/>
      <c r="G21" s="609"/>
      <c r="H21" s="609"/>
    </row>
  </sheetData>
  <mergeCells count="7">
    <mergeCell ref="J1:L2"/>
    <mergeCell ref="A1:H1"/>
    <mergeCell ref="A20:H20"/>
    <mergeCell ref="A21:H21"/>
    <mergeCell ref="C4:E4"/>
    <mergeCell ref="F4:H4"/>
    <mergeCell ref="A19:H19"/>
  </mergeCells>
  <pageMargins left="0.6" right="0.79" top="0.79" bottom="1.06" header="0.3" footer="0.3"/>
  <pageSetup paperSize="9" fitToWidth="0" fitToHeight="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workbookViewId="0">
      <selection activeCell="A14" sqref="A14:H14"/>
    </sheetView>
  </sheetViews>
  <sheetFormatPr baseColWidth="10" defaultColWidth="9.140625" defaultRowHeight="12.75" x14ac:dyDescent="0.2"/>
  <cols>
    <col min="1" max="1" width="14.7109375" customWidth="1"/>
    <col min="2" max="2" width="12.7109375" customWidth="1"/>
    <col min="3" max="3" width="10.7109375" customWidth="1"/>
    <col min="4" max="4" width="11.7109375" customWidth="1"/>
    <col min="5" max="5" width="8.7109375" customWidth="1"/>
    <col min="6" max="6" width="9.7109375" customWidth="1"/>
    <col min="7" max="8" width="10.140625" customWidth="1"/>
  </cols>
  <sheetData>
    <row r="1" spans="1:12" ht="15" customHeight="1" x14ac:dyDescent="0.2">
      <c r="A1" s="612" t="s">
        <v>139</v>
      </c>
      <c r="B1" s="609"/>
      <c r="C1" s="609"/>
      <c r="D1" s="609"/>
      <c r="E1" s="609"/>
      <c r="F1" s="609"/>
      <c r="G1" s="609"/>
      <c r="H1" s="609"/>
      <c r="J1" s="611" t="str">
        <f>HYPERLINK("#'sommaire'!A1", "Retour sommaire")</f>
        <v>Retour sommaire</v>
      </c>
      <c r="K1" s="609"/>
      <c r="L1" s="609"/>
    </row>
    <row r="2" spans="1:12" x14ac:dyDescent="0.2">
      <c r="J2" s="609"/>
      <c r="K2" s="609"/>
      <c r="L2" s="609"/>
    </row>
    <row r="3" spans="1:12" ht="51" x14ac:dyDescent="0.2">
      <c r="A3" s="4" t="s">
        <v>107</v>
      </c>
      <c r="B3" s="4" t="s">
        <v>82</v>
      </c>
      <c r="C3" s="4" t="s">
        <v>96</v>
      </c>
      <c r="D3" s="4" t="s">
        <v>97</v>
      </c>
      <c r="E3" s="4" t="s">
        <v>98</v>
      </c>
      <c r="F3" s="4" t="s">
        <v>99</v>
      </c>
      <c r="G3" s="4" t="s">
        <v>100</v>
      </c>
      <c r="H3" s="4" t="s">
        <v>101</v>
      </c>
    </row>
    <row r="4" spans="1:12" ht="25.5" x14ac:dyDescent="0.2">
      <c r="A4" s="5"/>
      <c r="B4" s="5" t="s">
        <v>24</v>
      </c>
      <c r="C4" s="613" t="s">
        <v>86</v>
      </c>
      <c r="D4" s="613" t="s">
        <v>86</v>
      </c>
      <c r="E4" s="613" t="s">
        <v>86</v>
      </c>
      <c r="F4" s="613" t="s">
        <v>102</v>
      </c>
      <c r="G4" s="613" t="s">
        <v>102</v>
      </c>
      <c r="H4" s="613" t="s">
        <v>102</v>
      </c>
    </row>
    <row r="5" spans="1:12" ht="25.5" x14ac:dyDescent="0.2">
      <c r="A5" s="17" t="s">
        <v>125</v>
      </c>
      <c r="B5" s="86">
        <v>19</v>
      </c>
      <c r="C5" s="88">
        <v>45</v>
      </c>
      <c r="D5" s="90">
        <v>14</v>
      </c>
      <c r="E5" s="92">
        <v>59</v>
      </c>
      <c r="F5" s="94">
        <v>48.222319474835899</v>
      </c>
      <c r="G5" s="96">
        <v>2.5380168144650499</v>
      </c>
      <c r="H5" s="98">
        <v>1.8752735229759301</v>
      </c>
    </row>
    <row r="6" spans="1:12" x14ac:dyDescent="0.2">
      <c r="A6" s="17" t="s">
        <v>127</v>
      </c>
      <c r="B6" s="86">
        <v>15</v>
      </c>
      <c r="C6" s="88">
        <v>46</v>
      </c>
      <c r="D6" s="90">
        <v>36</v>
      </c>
      <c r="E6" s="92">
        <v>82</v>
      </c>
      <c r="F6" s="94">
        <v>41.433807439824903</v>
      </c>
      <c r="G6" s="96">
        <v>2.7622538293216601</v>
      </c>
      <c r="H6" s="98">
        <v>3</v>
      </c>
    </row>
    <row r="7" spans="1:12" ht="38.25" x14ac:dyDescent="0.2">
      <c r="A7" s="17" t="s">
        <v>140</v>
      </c>
      <c r="B7" s="86">
        <v>3</v>
      </c>
      <c r="C7" s="88">
        <v>7</v>
      </c>
      <c r="D7" s="90">
        <v>2</v>
      </c>
      <c r="E7" s="92">
        <v>9</v>
      </c>
      <c r="F7" s="94">
        <v>5.4877461706783404</v>
      </c>
      <c r="G7" s="96">
        <v>1.8292487235594499</v>
      </c>
      <c r="H7" s="98">
        <v>1.52516411378556</v>
      </c>
    </row>
    <row r="8" spans="1:12" ht="38.25" x14ac:dyDescent="0.2">
      <c r="A8" s="17" t="s">
        <v>141</v>
      </c>
      <c r="B8" s="86">
        <v>8</v>
      </c>
      <c r="C8" s="88">
        <v>25</v>
      </c>
      <c r="D8" s="90">
        <v>2</v>
      </c>
      <c r="E8" s="92">
        <v>27</v>
      </c>
      <c r="F8" s="94">
        <v>11.1002188183807</v>
      </c>
      <c r="G8" s="96">
        <v>1.3875273522975899</v>
      </c>
      <c r="H8" s="98">
        <v>1</v>
      </c>
    </row>
    <row r="9" spans="1:12" ht="25.5" x14ac:dyDescent="0.2">
      <c r="A9" s="17" t="s">
        <v>134</v>
      </c>
      <c r="B9" s="86">
        <v>16</v>
      </c>
      <c r="C9" s="88">
        <v>20</v>
      </c>
      <c r="D9" s="90">
        <v>7</v>
      </c>
      <c r="E9" s="92">
        <v>27</v>
      </c>
      <c r="F9" s="94">
        <v>19.970459518599601</v>
      </c>
      <c r="G9" s="96">
        <v>1.2481537199124699</v>
      </c>
      <c r="H9" s="98">
        <v>1</v>
      </c>
    </row>
    <row r="10" spans="1:12" x14ac:dyDescent="0.2">
      <c r="A10" s="17" t="s">
        <v>135</v>
      </c>
      <c r="B10" s="86">
        <v>40</v>
      </c>
      <c r="C10" s="88">
        <v>65</v>
      </c>
      <c r="D10" s="90">
        <v>9</v>
      </c>
      <c r="E10" s="92">
        <v>74</v>
      </c>
      <c r="F10" s="94">
        <v>67.031619256017507</v>
      </c>
      <c r="G10" s="96">
        <v>1.6757904814004401</v>
      </c>
      <c r="H10" s="98">
        <v>1</v>
      </c>
    </row>
    <row r="11" spans="1:12" ht="38.25" x14ac:dyDescent="0.2">
      <c r="A11" s="17" t="s">
        <v>142</v>
      </c>
      <c r="B11" s="86">
        <v>11</v>
      </c>
      <c r="C11" s="88">
        <v>28</v>
      </c>
      <c r="D11" s="90">
        <v>9</v>
      </c>
      <c r="E11" s="92">
        <v>37</v>
      </c>
      <c r="F11" s="94">
        <v>22.879649890590802</v>
      </c>
      <c r="G11" s="96">
        <v>2.0799681718718901</v>
      </c>
      <c r="H11" s="98">
        <v>1.6252735229759301</v>
      </c>
    </row>
    <row r="12" spans="1:12" ht="38.25" x14ac:dyDescent="0.2">
      <c r="A12" s="17" t="s">
        <v>143</v>
      </c>
      <c r="B12" s="86">
        <v>47</v>
      </c>
      <c r="C12" s="88">
        <v>64</v>
      </c>
      <c r="D12" s="90">
        <v>18</v>
      </c>
      <c r="E12" s="92">
        <v>82</v>
      </c>
      <c r="F12" s="94">
        <v>66.185010940919</v>
      </c>
      <c r="G12" s="96">
        <v>1.40819172214721</v>
      </c>
      <c r="H12" s="98">
        <v>1</v>
      </c>
    </row>
    <row r="13" spans="1:12" x14ac:dyDescent="0.2">
      <c r="A13" s="6" t="s">
        <v>75</v>
      </c>
      <c r="B13" s="85">
        <v>159</v>
      </c>
      <c r="C13" s="87">
        <v>300</v>
      </c>
      <c r="D13" s="89">
        <v>97</v>
      </c>
      <c r="E13" s="91">
        <v>397</v>
      </c>
      <c r="F13" s="93">
        <v>282.31083150984699</v>
      </c>
      <c r="G13" s="95">
        <v>1.77553982081665</v>
      </c>
      <c r="H13" s="97">
        <v>1</v>
      </c>
    </row>
    <row r="14" spans="1:12" ht="78" customHeight="1" x14ac:dyDescent="0.2">
      <c r="A14" s="608" t="s">
        <v>977</v>
      </c>
      <c r="B14" s="609"/>
      <c r="C14" s="609"/>
      <c r="D14" s="609"/>
      <c r="E14" s="609"/>
      <c r="F14" s="609"/>
      <c r="G14" s="609"/>
      <c r="H14" s="609"/>
    </row>
    <row r="15" spans="1:12" x14ac:dyDescent="0.2">
      <c r="A15" s="608" t="s">
        <v>144</v>
      </c>
      <c r="B15" s="609"/>
      <c r="C15" s="609"/>
      <c r="D15" s="609"/>
      <c r="E15" s="609"/>
      <c r="F15" s="609"/>
      <c r="G15" s="609"/>
      <c r="H15" s="609"/>
    </row>
    <row r="16" spans="1:12" x14ac:dyDescent="0.2">
      <c r="A16" s="610" t="s">
        <v>145</v>
      </c>
      <c r="B16" s="609"/>
      <c r="C16" s="609"/>
      <c r="D16" s="609"/>
      <c r="E16" s="609"/>
      <c r="F16" s="609"/>
      <c r="G16" s="609"/>
      <c r="H16" s="609"/>
    </row>
  </sheetData>
  <mergeCells count="7">
    <mergeCell ref="J1:L2"/>
    <mergeCell ref="A1:H1"/>
    <mergeCell ref="A15:H15"/>
    <mergeCell ref="A16:H16"/>
    <mergeCell ref="C4:E4"/>
    <mergeCell ref="F4:H4"/>
    <mergeCell ref="A14:H14"/>
  </mergeCells>
  <pageMargins left="0.6" right="0.79" top="0.79" bottom="1.06" header="0.3" footer="0.3"/>
  <pageSetup paperSize="9" fitToWidth="0" fitToHeight="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sqref="A1:E1"/>
    </sheetView>
  </sheetViews>
  <sheetFormatPr baseColWidth="10" defaultColWidth="9.140625" defaultRowHeight="12.75" x14ac:dyDescent="0.2"/>
  <cols>
    <col min="1" max="1" width="23.7109375" customWidth="1"/>
    <col min="2" max="5" width="15.7109375" customWidth="1"/>
  </cols>
  <sheetData>
    <row r="1" spans="1:9" ht="15" customHeight="1" x14ac:dyDescent="0.2">
      <c r="A1" s="612" t="s">
        <v>146</v>
      </c>
      <c r="B1" s="609"/>
      <c r="C1" s="609"/>
      <c r="D1" s="609"/>
      <c r="E1" s="609"/>
      <c r="G1" s="611" t="str">
        <f>HYPERLINK("#'sommaire'!A1", "Retour sommaire")</f>
        <v>Retour sommaire</v>
      </c>
      <c r="H1" s="609"/>
      <c r="I1" s="609"/>
    </row>
    <row r="2" spans="1:9" x14ac:dyDescent="0.2">
      <c r="G2" s="609"/>
      <c r="H2" s="609"/>
      <c r="I2" s="609"/>
    </row>
    <row r="3" spans="1:9" x14ac:dyDescent="0.2">
      <c r="A3" s="619" t="s">
        <v>147</v>
      </c>
      <c r="B3" s="609"/>
      <c r="C3" s="609"/>
      <c r="D3" s="609"/>
      <c r="E3" s="609"/>
    </row>
    <row r="4" spans="1:9" ht="51" x14ac:dyDescent="0.2">
      <c r="A4" s="4" t="s">
        <v>95</v>
      </c>
      <c r="B4" s="4" t="s">
        <v>148</v>
      </c>
      <c r="C4" s="4" t="s">
        <v>149</v>
      </c>
      <c r="D4" s="4" t="s">
        <v>150</v>
      </c>
      <c r="E4" s="4" t="s">
        <v>151</v>
      </c>
    </row>
    <row r="5" spans="1:9" ht="25.5" x14ac:dyDescent="0.2">
      <c r="A5" s="17" t="s">
        <v>69</v>
      </c>
      <c r="B5" s="99">
        <v>15.803108808290199</v>
      </c>
      <c r="C5" s="100">
        <v>32.235667526284502</v>
      </c>
      <c r="D5" s="101">
        <v>41.170123486392498</v>
      </c>
      <c r="E5" s="102">
        <v>25.5623487261641</v>
      </c>
    </row>
    <row r="6" spans="1:9" ht="25.5" x14ac:dyDescent="0.2">
      <c r="A6" s="17" t="s">
        <v>70</v>
      </c>
      <c r="B6" s="99">
        <v>21.663019693654299</v>
      </c>
      <c r="C6" s="100">
        <v>21.521739130434799</v>
      </c>
      <c r="D6" s="101">
        <v>32.704402515723302</v>
      </c>
      <c r="E6" s="102">
        <v>21.762825967058198</v>
      </c>
    </row>
    <row r="7" spans="1:9" x14ac:dyDescent="0.2">
      <c r="A7" s="17" t="s">
        <v>71</v>
      </c>
      <c r="B7" s="99">
        <v>18.326693227091599</v>
      </c>
      <c r="C7" s="100">
        <v>14.4144144144144</v>
      </c>
      <c r="D7" s="101">
        <v>17.021276595744698</v>
      </c>
      <c r="E7" s="102">
        <v>14.670644327260501</v>
      </c>
    </row>
    <row r="8" spans="1:9" x14ac:dyDescent="0.2">
      <c r="A8" s="17" t="s">
        <v>72</v>
      </c>
      <c r="B8" s="99">
        <v>14.634146341463399</v>
      </c>
      <c r="C8" s="100">
        <v>20.960698689956299</v>
      </c>
      <c r="D8" s="101">
        <v>33.441558441558399</v>
      </c>
      <c r="E8" s="102">
        <v>24.130116928846199</v>
      </c>
    </row>
    <row r="9" spans="1:9" ht="25.5" x14ac:dyDescent="0.2">
      <c r="A9" s="17" t="s">
        <v>73</v>
      </c>
      <c r="B9" s="99">
        <v>28.7081339712919</v>
      </c>
      <c r="C9" s="100">
        <v>36.263736263736298</v>
      </c>
      <c r="D9" s="101">
        <v>30.927835051546399</v>
      </c>
      <c r="E9" s="102">
        <v>31.306802525732301</v>
      </c>
    </row>
    <row r="10" spans="1:9" x14ac:dyDescent="0.2">
      <c r="A10" s="610" t="s">
        <v>152</v>
      </c>
      <c r="B10" s="609"/>
      <c r="C10" s="609"/>
      <c r="D10" s="609"/>
      <c r="E10" s="609"/>
    </row>
  </sheetData>
  <mergeCells count="4">
    <mergeCell ref="G1:I2"/>
    <mergeCell ref="A1:E1"/>
    <mergeCell ref="A3:E3"/>
    <mergeCell ref="A10:E10"/>
  </mergeCells>
  <pageMargins left="0.6" right="0.79" top="0.79" bottom="1.06" header="0.3" footer="0.3"/>
  <pageSetup paperSize="9" fitToWidth="0" fitToHeight="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H1" sqref="H1:J2"/>
    </sheetView>
  </sheetViews>
  <sheetFormatPr baseColWidth="10" defaultColWidth="9.140625" defaultRowHeight="12.75" x14ac:dyDescent="0.2"/>
  <cols>
    <col min="1" max="1" width="14.7109375" customWidth="1"/>
    <col min="2" max="2" width="15.7109375" customWidth="1"/>
    <col min="3" max="3" width="13.7109375" customWidth="1"/>
    <col min="4" max="5" width="12.7109375" customWidth="1"/>
    <col min="6" max="6" width="14.7109375" customWidth="1"/>
  </cols>
  <sheetData>
    <row r="1" spans="1:10" ht="39" customHeight="1" x14ac:dyDescent="0.2">
      <c r="A1" s="612" t="s">
        <v>153</v>
      </c>
      <c r="B1" s="609"/>
      <c r="C1" s="609"/>
      <c r="D1" s="609"/>
      <c r="E1" s="609"/>
      <c r="F1" s="609"/>
      <c r="H1" s="611" t="str">
        <f>HYPERLINK("#'sommaire'!A1", "Retour sommaire")</f>
        <v>Retour sommaire</v>
      </c>
      <c r="I1" s="609"/>
      <c r="J1" s="609"/>
    </row>
    <row r="2" spans="1:10" x14ac:dyDescent="0.2">
      <c r="H2" s="609"/>
      <c r="I2" s="609"/>
      <c r="J2" s="609"/>
    </row>
    <row r="3" spans="1:10" x14ac:dyDescent="0.2">
      <c r="A3" s="619" t="s">
        <v>154</v>
      </c>
      <c r="B3" s="609"/>
      <c r="C3" s="609"/>
      <c r="D3" s="609"/>
      <c r="E3" s="609"/>
      <c r="F3" s="609"/>
    </row>
    <row r="4" spans="1:10" ht="38.25" x14ac:dyDescent="0.2">
      <c r="A4" s="4" t="s">
        <v>155</v>
      </c>
      <c r="B4" s="4" t="s">
        <v>69</v>
      </c>
      <c r="C4" s="4" t="s">
        <v>70</v>
      </c>
      <c r="D4" s="4" t="s">
        <v>71</v>
      </c>
      <c r="E4" s="4" t="s">
        <v>72</v>
      </c>
      <c r="F4" s="4" t="s">
        <v>73</v>
      </c>
    </row>
    <row r="5" spans="1:10" x14ac:dyDescent="0.2">
      <c r="A5" s="17" t="s">
        <v>156</v>
      </c>
      <c r="B5" s="104">
        <v>4</v>
      </c>
      <c r="C5" s="106"/>
      <c r="D5" s="108"/>
      <c r="E5" s="110"/>
      <c r="F5" s="112"/>
    </row>
    <row r="6" spans="1:10" x14ac:dyDescent="0.2">
      <c r="A6" s="17" t="s">
        <v>157</v>
      </c>
      <c r="B6" s="104">
        <v>32</v>
      </c>
      <c r="C6" s="106">
        <v>8</v>
      </c>
      <c r="D6" s="108">
        <v>4</v>
      </c>
      <c r="E6" s="110"/>
      <c r="F6" s="112">
        <v>1</v>
      </c>
    </row>
    <row r="7" spans="1:10" x14ac:dyDescent="0.2">
      <c r="A7" s="17" t="s">
        <v>158</v>
      </c>
      <c r="B7" s="104">
        <v>126</v>
      </c>
      <c r="C7" s="106">
        <v>10</v>
      </c>
      <c r="D7" s="108">
        <v>3</v>
      </c>
      <c r="E7" s="110"/>
      <c r="F7" s="112">
        <v>11</v>
      </c>
    </row>
    <row r="8" spans="1:10" x14ac:dyDescent="0.2">
      <c r="A8" s="17" t="s">
        <v>159</v>
      </c>
      <c r="B8" s="104">
        <v>220</v>
      </c>
      <c r="C8" s="106">
        <v>35</v>
      </c>
      <c r="D8" s="108">
        <v>14</v>
      </c>
      <c r="E8" s="110">
        <v>2</v>
      </c>
      <c r="F8" s="112">
        <v>21</v>
      </c>
    </row>
    <row r="9" spans="1:10" x14ac:dyDescent="0.2">
      <c r="A9" s="17" t="s">
        <v>160</v>
      </c>
      <c r="B9" s="104">
        <v>260</v>
      </c>
      <c r="C9" s="106">
        <v>41</v>
      </c>
      <c r="D9" s="108">
        <v>12</v>
      </c>
      <c r="E9" s="110">
        <v>2</v>
      </c>
      <c r="F9" s="112">
        <v>32</v>
      </c>
    </row>
    <row r="10" spans="1:10" x14ac:dyDescent="0.2">
      <c r="A10" s="17" t="s">
        <v>161</v>
      </c>
      <c r="B10" s="104">
        <v>290</v>
      </c>
      <c r="C10" s="106">
        <v>37</v>
      </c>
      <c r="D10" s="108">
        <v>21</v>
      </c>
      <c r="E10" s="110">
        <v>2</v>
      </c>
      <c r="F10" s="112">
        <v>26</v>
      </c>
    </row>
    <row r="11" spans="1:10" x14ac:dyDescent="0.2">
      <c r="A11" s="17" t="s">
        <v>162</v>
      </c>
      <c r="B11" s="104">
        <v>468</v>
      </c>
      <c r="C11" s="106">
        <v>55</v>
      </c>
      <c r="D11" s="108">
        <v>30</v>
      </c>
      <c r="E11" s="110">
        <v>9</v>
      </c>
      <c r="F11" s="112">
        <v>27</v>
      </c>
    </row>
    <row r="12" spans="1:10" x14ac:dyDescent="0.2">
      <c r="A12" s="17" t="s">
        <v>163</v>
      </c>
      <c r="B12" s="104">
        <v>497</v>
      </c>
      <c r="C12" s="106">
        <v>61</v>
      </c>
      <c r="D12" s="108">
        <v>28</v>
      </c>
      <c r="E12" s="110">
        <v>4</v>
      </c>
      <c r="F12" s="112">
        <v>27</v>
      </c>
    </row>
    <row r="13" spans="1:10" x14ac:dyDescent="0.2">
      <c r="A13" s="17" t="s">
        <v>164</v>
      </c>
      <c r="B13" s="104">
        <v>376</v>
      </c>
      <c r="C13" s="106">
        <v>75</v>
      </c>
      <c r="D13" s="108">
        <v>33</v>
      </c>
      <c r="E13" s="110">
        <v>8</v>
      </c>
      <c r="F13" s="112">
        <v>23</v>
      </c>
    </row>
    <row r="14" spans="1:10" x14ac:dyDescent="0.2">
      <c r="A14" s="17" t="s">
        <v>165</v>
      </c>
      <c r="B14" s="104">
        <v>190</v>
      </c>
      <c r="C14" s="106">
        <v>52</v>
      </c>
      <c r="D14" s="108">
        <v>25</v>
      </c>
      <c r="E14" s="110">
        <v>4</v>
      </c>
      <c r="F14" s="112">
        <v>14</v>
      </c>
    </row>
    <row r="15" spans="1:10" x14ac:dyDescent="0.2">
      <c r="A15" s="17" t="s">
        <v>166</v>
      </c>
      <c r="B15" s="104">
        <v>111</v>
      </c>
      <c r="C15" s="106">
        <v>20</v>
      </c>
      <c r="D15" s="108">
        <v>23</v>
      </c>
      <c r="E15" s="110">
        <v>1</v>
      </c>
      <c r="F15" s="112">
        <v>3</v>
      </c>
    </row>
    <row r="16" spans="1:10" x14ac:dyDescent="0.2">
      <c r="A16" s="17" t="s">
        <v>167</v>
      </c>
      <c r="B16" s="104">
        <v>58</v>
      </c>
      <c r="C16" s="106">
        <v>17</v>
      </c>
      <c r="D16" s="108">
        <v>32</v>
      </c>
      <c r="E16" s="110">
        <v>2</v>
      </c>
      <c r="F16" s="112">
        <v>17</v>
      </c>
    </row>
    <row r="17" spans="1:6" x14ac:dyDescent="0.2">
      <c r="A17" s="17" t="s">
        <v>168</v>
      </c>
      <c r="B17" s="104">
        <v>848</v>
      </c>
      <c r="C17" s="106">
        <v>48</v>
      </c>
      <c r="D17" s="108">
        <v>26</v>
      </c>
      <c r="E17" s="110">
        <v>7</v>
      </c>
      <c r="F17" s="112">
        <v>7</v>
      </c>
    </row>
    <row r="18" spans="1:6" x14ac:dyDescent="0.2">
      <c r="A18" s="6" t="s">
        <v>75</v>
      </c>
      <c r="B18" s="103">
        <v>3480</v>
      </c>
      <c r="C18" s="105">
        <v>459</v>
      </c>
      <c r="D18" s="107">
        <v>251</v>
      </c>
      <c r="E18" s="109">
        <v>41</v>
      </c>
      <c r="F18" s="111">
        <v>209</v>
      </c>
    </row>
    <row r="19" spans="1:6" ht="27.75" customHeight="1" x14ac:dyDescent="0.2">
      <c r="A19" s="610" t="s">
        <v>46</v>
      </c>
      <c r="B19" s="609"/>
      <c r="C19" s="609"/>
      <c r="D19" s="609"/>
      <c r="E19" s="609"/>
      <c r="F19" s="609"/>
    </row>
  </sheetData>
  <mergeCells count="4">
    <mergeCell ref="H1:J2"/>
    <mergeCell ref="A1:F1"/>
    <mergeCell ref="A3:F3"/>
    <mergeCell ref="A19:F19"/>
  </mergeCells>
  <pageMargins left="0.6" right="0.79" top="0.79" bottom="1.06" header="0.3" footer="0.3"/>
  <pageSetup paperSize="9" fitToWidth="0" fitToHeight="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H1" sqref="H1:J2"/>
    </sheetView>
  </sheetViews>
  <sheetFormatPr baseColWidth="10" defaultColWidth="9.140625" defaultRowHeight="12.75" x14ac:dyDescent="0.2"/>
  <cols>
    <col min="1" max="2" width="15.7109375" customWidth="1"/>
    <col min="3" max="3" width="13.7109375" customWidth="1"/>
    <col min="4" max="5" width="12.7109375" customWidth="1"/>
    <col min="6" max="6" width="14.7109375" customWidth="1"/>
  </cols>
  <sheetData>
    <row r="1" spans="1:10" ht="39" customHeight="1" x14ac:dyDescent="0.2">
      <c r="A1" s="612" t="s">
        <v>169</v>
      </c>
      <c r="B1" s="609"/>
      <c r="C1" s="609"/>
      <c r="D1" s="609"/>
      <c r="E1" s="609"/>
      <c r="F1" s="609"/>
      <c r="H1" s="611" t="str">
        <f>HYPERLINK("#'sommaire'!A1", "Retour sommaire")</f>
        <v>Retour sommaire</v>
      </c>
      <c r="I1" s="609"/>
      <c r="J1" s="609"/>
    </row>
    <row r="2" spans="1:10" x14ac:dyDescent="0.2">
      <c r="H2" s="609"/>
      <c r="I2" s="609"/>
      <c r="J2" s="609"/>
    </row>
    <row r="3" spans="1:10" x14ac:dyDescent="0.2">
      <c r="A3" s="619" t="s">
        <v>154</v>
      </c>
      <c r="B3" s="609"/>
      <c r="C3" s="609"/>
      <c r="D3" s="609"/>
      <c r="E3" s="609"/>
      <c r="F3" s="609"/>
    </row>
    <row r="4" spans="1:10" ht="38.25" x14ac:dyDescent="0.2">
      <c r="A4" s="4" t="s">
        <v>170</v>
      </c>
      <c r="B4" s="4" t="s">
        <v>69</v>
      </c>
      <c r="C4" s="4" t="s">
        <v>70</v>
      </c>
      <c r="D4" s="4" t="s">
        <v>71</v>
      </c>
      <c r="E4" s="4" t="s">
        <v>72</v>
      </c>
      <c r="F4" s="4" t="s">
        <v>73</v>
      </c>
    </row>
    <row r="5" spans="1:10" x14ac:dyDescent="0.2">
      <c r="A5" s="620" t="s">
        <v>171</v>
      </c>
      <c r="B5" s="621" t="s">
        <v>172</v>
      </c>
      <c r="C5" s="621" t="s">
        <v>172</v>
      </c>
      <c r="D5" s="621" t="s">
        <v>172</v>
      </c>
      <c r="E5" s="621" t="s">
        <v>172</v>
      </c>
      <c r="F5" s="621" t="s">
        <v>172</v>
      </c>
    </row>
    <row r="6" spans="1:10" x14ac:dyDescent="0.2">
      <c r="A6" s="17" t="s">
        <v>173</v>
      </c>
      <c r="B6" s="114">
        <v>395</v>
      </c>
      <c r="C6" s="116">
        <v>58</v>
      </c>
      <c r="D6" s="118">
        <v>14</v>
      </c>
      <c r="E6" s="120">
        <v>2</v>
      </c>
      <c r="F6" s="122">
        <v>10</v>
      </c>
    </row>
    <row r="7" spans="1:10" x14ac:dyDescent="0.2">
      <c r="A7" s="17" t="s">
        <v>174</v>
      </c>
      <c r="B7" s="114">
        <v>782</v>
      </c>
      <c r="C7" s="116">
        <v>74</v>
      </c>
      <c r="D7" s="118">
        <v>34</v>
      </c>
      <c r="E7" s="120">
        <v>4</v>
      </c>
      <c r="F7" s="122">
        <v>19</v>
      </c>
    </row>
    <row r="8" spans="1:10" x14ac:dyDescent="0.2">
      <c r="A8" s="17" t="s">
        <v>175</v>
      </c>
      <c r="B8" s="114">
        <v>547</v>
      </c>
      <c r="C8" s="116">
        <v>67</v>
      </c>
      <c r="D8" s="118">
        <v>43</v>
      </c>
      <c r="E8" s="120">
        <v>1</v>
      </c>
      <c r="F8" s="122">
        <v>34</v>
      </c>
    </row>
    <row r="9" spans="1:10" x14ac:dyDescent="0.2">
      <c r="A9" s="17" t="s">
        <v>176</v>
      </c>
      <c r="B9" s="114">
        <v>246</v>
      </c>
      <c r="C9" s="116">
        <v>83</v>
      </c>
      <c r="D9" s="118">
        <v>48</v>
      </c>
      <c r="E9" s="120">
        <v>6</v>
      </c>
      <c r="F9" s="122">
        <v>46</v>
      </c>
    </row>
    <row r="10" spans="1:10" x14ac:dyDescent="0.2">
      <c r="A10" s="17" t="s">
        <v>177</v>
      </c>
      <c r="B10" s="114">
        <v>189</v>
      </c>
      <c r="C10" s="116">
        <v>94</v>
      </c>
      <c r="D10" s="118">
        <v>72</v>
      </c>
      <c r="E10" s="120">
        <v>14</v>
      </c>
      <c r="F10" s="122">
        <v>74</v>
      </c>
    </row>
    <row r="11" spans="1:10" x14ac:dyDescent="0.2">
      <c r="A11" s="17" t="s">
        <v>178</v>
      </c>
      <c r="B11" s="114">
        <v>1321</v>
      </c>
      <c r="C11" s="116">
        <v>83</v>
      </c>
      <c r="D11" s="118">
        <v>40</v>
      </c>
      <c r="E11" s="120">
        <v>14</v>
      </c>
      <c r="F11" s="122">
        <v>26</v>
      </c>
    </row>
    <row r="12" spans="1:10" x14ac:dyDescent="0.2">
      <c r="A12" s="620" t="s">
        <v>179</v>
      </c>
      <c r="B12" s="621" t="s">
        <v>172</v>
      </c>
      <c r="C12" s="621" t="s">
        <v>172</v>
      </c>
      <c r="D12" s="621" t="s">
        <v>172</v>
      </c>
      <c r="E12" s="621" t="s">
        <v>172</v>
      </c>
      <c r="F12" s="621" t="s">
        <v>172</v>
      </c>
    </row>
    <row r="13" spans="1:10" x14ac:dyDescent="0.2">
      <c r="A13" s="17" t="s">
        <v>173</v>
      </c>
      <c r="B13" s="114">
        <v>640</v>
      </c>
      <c r="C13" s="116">
        <v>201</v>
      </c>
      <c r="D13" s="118">
        <v>139</v>
      </c>
      <c r="E13" s="120">
        <v>13</v>
      </c>
      <c r="F13" s="122">
        <v>119</v>
      </c>
    </row>
    <row r="14" spans="1:10" x14ac:dyDescent="0.2">
      <c r="A14" s="17" t="s">
        <v>180</v>
      </c>
      <c r="B14" s="114">
        <v>142</v>
      </c>
      <c r="C14" s="116">
        <v>2</v>
      </c>
      <c r="D14" s="118">
        <v>2</v>
      </c>
      <c r="E14" s="120">
        <v>1</v>
      </c>
      <c r="F14" s="122">
        <v>1</v>
      </c>
    </row>
    <row r="15" spans="1:10" x14ac:dyDescent="0.2">
      <c r="A15" s="17" t="s">
        <v>181</v>
      </c>
      <c r="B15" s="114">
        <v>470</v>
      </c>
      <c r="C15" s="116">
        <v>42</v>
      </c>
      <c r="D15" s="118">
        <v>12</v>
      </c>
      <c r="E15" s="120">
        <v>1</v>
      </c>
      <c r="F15" s="122">
        <v>6</v>
      </c>
    </row>
    <row r="16" spans="1:10" ht="38.25" x14ac:dyDescent="0.2">
      <c r="A16" s="17" t="s">
        <v>182</v>
      </c>
      <c r="B16" s="114">
        <v>337</v>
      </c>
      <c r="C16" s="116">
        <v>27</v>
      </c>
      <c r="D16" s="118">
        <v>19</v>
      </c>
      <c r="E16" s="120">
        <v>3</v>
      </c>
      <c r="F16" s="122">
        <v>22</v>
      </c>
    </row>
    <row r="17" spans="1:6" x14ac:dyDescent="0.2">
      <c r="A17" s="17" t="s">
        <v>183</v>
      </c>
      <c r="B17" s="114">
        <v>59</v>
      </c>
      <c r="C17" s="116">
        <v>52</v>
      </c>
      <c r="D17" s="118">
        <v>15</v>
      </c>
      <c r="E17" s="120">
        <v>5</v>
      </c>
      <c r="F17" s="122">
        <v>9</v>
      </c>
    </row>
    <row r="18" spans="1:6" x14ac:dyDescent="0.2">
      <c r="A18" s="17" t="s">
        <v>184</v>
      </c>
      <c r="B18" s="114">
        <v>54</v>
      </c>
      <c r="C18" s="116">
        <v>41</v>
      </c>
      <c r="D18" s="118">
        <v>13</v>
      </c>
      <c r="E18" s="120">
        <v>5</v>
      </c>
      <c r="F18" s="122">
        <v>17</v>
      </c>
    </row>
    <row r="19" spans="1:6" x14ac:dyDescent="0.2">
      <c r="A19" s="17" t="s">
        <v>178</v>
      </c>
      <c r="B19" s="114">
        <v>1778</v>
      </c>
      <c r="C19" s="116">
        <v>94</v>
      </c>
      <c r="D19" s="118">
        <v>51</v>
      </c>
      <c r="E19" s="120">
        <v>13</v>
      </c>
      <c r="F19" s="122">
        <v>35</v>
      </c>
    </row>
    <row r="20" spans="1:6" x14ac:dyDescent="0.2">
      <c r="A20" s="6" t="s">
        <v>75</v>
      </c>
      <c r="B20" s="113">
        <v>3480</v>
      </c>
      <c r="C20" s="115">
        <v>459</v>
      </c>
      <c r="D20" s="117">
        <v>251</v>
      </c>
      <c r="E20" s="119">
        <v>41</v>
      </c>
      <c r="F20" s="121">
        <v>209</v>
      </c>
    </row>
    <row r="21" spans="1:6" ht="31.5" customHeight="1" x14ac:dyDescent="0.2">
      <c r="A21" s="608" t="s">
        <v>185</v>
      </c>
      <c r="B21" s="609"/>
      <c r="C21" s="609"/>
      <c r="D21" s="609"/>
      <c r="E21" s="609"/>
      <c r="F21" s="609"/>
    </row>
    <row r="22" spans="1:6" ht="29.25" customHeight="1" x14ac:dyDescent="0.2">
      <c r="A22" s="610" t="s">
        <v>46</v>
      </c>
      <c r="B22" s="609"/>
      <c r="C22" s="609"/>
      <c r="D22" s="609"/>
      <c r="E22" s="609"/>
      <c r="F22" s="609"/>
    </row>
  </sheetData>
  <mergeCells count="7">
    <mergeCell ref="H1:J2"/>
    <mergeCell ref="A1:F1"/>
    <mergeCell ref="A3:F3"/>
    <mergeCell ref="A21:F21"/>
    <mergeCell ref="A22:F22"/>
    <mergeCell ref="A5:F5"/>
    <mergeCell ref="A12:F12"/>
  </mergeCells>
  <pageMargins left="0.6" right="0.79" top="0.79" bottom="1.06" header="0.3" footer="0.3"/>
  <pageSetup paperSize="9" fitToWidth="0" fitToHeight="0"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H1" sqref="H1:J2"/>
    </sheetView>
  </sheetViews>
  <sheetFormatPr baseColWidth="10" defaultColWidth="9.140625" defaultRowHeight="12.75" x14ac:dyDescent="0.2"/>
  <cols>
    <col min="1" max="2" width="15.7109375" customWidth="1"/>
    <col min="3" max="3" width="13.7109375" customWidth="1"/>
    <col min="4" max="5" width="12.7109375" customWidth="1"/>
    <col min="6" max="6" width="14.7109375" customWidth="1"/>
  </cols>
  <sheetData>
    <row r="1" spans="1:10" ht="39" customHeight="1" x14ac:dyDescent="0.2">
      <c r="A1" s="612" t="s">
        <v>186</v>
      </c>
      <c r="B1" s="609"/>
      <c r="C1" s="609"/>
      <c r="D1" s="609"/>
      <c r="E1" s="609"/>
      <c r="F1" s="609"/>
      <c r="H1" s="611" t="str">
        <f>HYPERLINK("#'sommaire'!A1", "Retour sommaire")</f>
        <v>Retour sommaire</v>
      </c>
      <c r="I1" s="609"/>
      <c r="J1" s="609"/>
    </row>
    <row r="2" spans="1:10" x14ac:dyDescent="0.2">
      <c r="H2" s="609"/>
      <c r="I2" s="609"/>
      <c r="J2" s="609"/>
    </row>
    <row r="3" spans="1:10" x14ac:dyDescent="0.2">
      <c r="A3" s="619" t="s">
        <v>154</v>
      </c>
      <c r="B3" s="609"/>
      <c r="C3" s="609"/>
      <c r="D3" s="609"/>
      <c r="E3" s="609"/>
      <c r="F3" s="609"/>
    </row>
    <row r="4" spans="1:10" ht="38.25" x14ac:dyDescent="0.2">
      <c r="A4" s="4" t="s">
        <v>187</v>
      </c>
      <c r="B4" s="4" t="s">
        <v>69</v>
      </c>
      <c r="C4" s="4" t="s">
        <v>70</v>
      </c>
      <c r="D4" s="4" t="s">
        <v>71</v>
      </c>
      <c r="E4" s="4" t="s">
        <v>72</v>
      </c>
      <c r="F4" s="4" t="s">
        <v>73</v>
      </c>
    </row>
    <row r="5" spans="1:10" x14ac:dyDescent="0.2">
      <c r="A5" s="17" t="s">
        <v>188</v>
      </c>
      <c r="B5" s="124">
        <v>2168</v>
      </c>
      <c r="C5" s="126">
        <v>1</v>
      </c>
      <c r="D5" s="128">
        <v>0</v>
      </c>
      <c r="E5" s="130">
        <v>8</v>
      </c>
      <c r="F5" s="132">
        <v>5</v>
      </c>
    </row>
    <row r="6" spans="1:10" x14ac:dyDescent="0.2">
      <c r="A6" s="17" t="s">
        <v>189</v>
      </c>
      <c r="B6" s="124">
        <v>401</v>
      </c>
      <c r="C6" s="126">
        <v>362</v>
      </c>
      <c r="D6" s="128">
        <v>165</v>
      </c>
      <c r="E6" s="130">
        <v>17</v>
      </c>
      <c r="F6" s="132">
        <v>171</v>
      </c>
    </row>
    <row r="7" spans="1:10" x14ac:dyDescent="0.2">
      <c r="A7" s="17" t="s">
        <v>190</v>
      </c>
      <c r="B7" s="124">
        <v>60</v>
      </c>
      <c r="C7" s="126">
        <v>48</v>
      </c>
      <c r="D7" s="128">
        <v>60</v>
      </c>
      <c r="E7" s="130">
        <v>9</v>
      </c>
      <c r="F7" s="132">
        <v>17</v>
      </c>
    </row>
    <row r="8" spans="1:10" x14ac:dyDescent="0.2">
      <c r="A8" s="17" t="s">
        <v>178</v>
      </c>
      <c r="B8" s="124">
        <v>851</v>
      </c>
      <c r="C8" s="126">
        <v>48</v>
      </c>
      <c r="D8" s="128">
        <v>26</v>
      </c>
      <c r="E8" s="130">
        <v>7</v>
      </c>
      <c r="F8" s="132">
        <v>16</v>
      </c>
    </row>
    <row r="9" spans="1:10" x14ac:dyDescent="0.2">
      <c r="A9" s="6" t="s">
        <v>75</v>
      </c>
      <c r="B9" s="123">
        <v>3480</v>
      </c>
      <c r="C9" s="125">
        <v>459</v>
      </c>
      <c r="D9" s="127">
        <v>251</v>
      </c>
      <c r="E9" s="129">
        <v>41</v>
      </c>
      <c r="F9" s="131">
        <v>209</v>
      </c>
    </row>
    <row r="10" spans="1:10" ht="27.75" customHeight="1" x14ac:dyDescent="0.2">
      <c r="A10" s="610" t="s">
        <v>46</v>
      </c>
      <c r="B10" s="609"/>
      <c r="C10" s="609"/>
      <c r="D10" s="609"/>
      <c r="E10" s="609"/>
      <c r="F10" s="609"/>
    </row>
  </sheetData>
  <mergeCells count="4">
    <mergeCell ref="H1:J2"/>
    <mergeCell ref="A1:F1"/>
    <mergeCell ref="A3:F3"/>
    <mergeCell ref="A10:F10"/>
  </mergeCells>
  <pageMargins left="0.6" right="0.79" top="0.79" bottom="1.06" header="0.3" footer="0.3"/>
  <pageSetup paperSize="9" fitToWidth="0" fitToHeight="0"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J1" sqref="J1:L2"/>
    </sheetView>
  </sheetViews>
  <sheetFormatPr baseColWidth="10" defaultColWidth="9.140625" defaultRowHeight="12.75" x14ac:dyDescent="0.2"/>
  <cols>
    <col min="1" max="1" width="11.7109375" customWidth="1"/>
    <col min="2" max="2" width="15.7109375" customWidth="1"/>
    <col min="3" max="3" width="12.140625" customWidth="1"/>
    <col min="4" max="4" width="13.7109375" customWidth="1"/>
    <col min="5" max="5" width="8.7109375" customWidth="1"/>
    <col min="6" max="6" width="9.140625" customWidth="1"/>
    <col min="7" max="7" width="8.140625" customWidth="1"/>
    <col min="8" max="8" width="8.7109375" customWidth="1"/>
  </cols>
  <sheetData>
    <row r="1" spans="1:12" ht="39" customHeight="1" x14ac:dyDescent="0.2">
      <c r="A1" s="612" t="s">
        <v>191</v>
      </c>
      <c r="B1" s="609"/>
      <c r="C1" s="609"/>
      <c r="D1" s="609"/>
      <c r="E1" s="609"/>
      <c r="F1" s="609"/>
      <c r="G1" s="609"/>
      <c r="H1" s="609"/>
      <c r="J1" s="611" t="str">
        <f>HYPERLINK("#'sommaire'!A1", "Retour sommaire")</f>
        <v>Retour sommaire</v>
      </c>
      <c r="K1" s="609"/>
      <c r="L1" s="609"/>
    </row>
    <row r="2" spans="1:12" x14ac:dyDescent="0.2">
      <c r="J2" s="609"/>
      <c r="K2" s="609"/>
      <c r="L2" s="609"/>
    </row>
    <row r="3" spans="1:12" ht="38.25" x14ac:dyDescent="0.2">
      <c r="A3" s="4" t="s">
        <v>19</v>
      </c>
      <c r="B3" s="4" t="s">
        <v>192</v>
      </c>
      <c r="C3" s="4" t="s">
        <v>193</v>
      </c>
      <c r="D3" s="4" t="s">
        <v>194</v>
      </c>
      <c r="E3" s="4" t="s">
        <v>21</v>
      </c>
      <c r="F3" s="4" t="s">
        <v>22</v>
      </c>
      <c r="G3" s="4" t="s">
        <v>23</v>
      </c>
      <c r="H3" s="4" t="s">
        <v>195</v>
      </c>
    </row>
    <row r="4" spans="1:12" ht="25.5" x14ac:dyDescent="0.2">
      <c r="A4" s="613"/>
      <c r="B4" s="613"/>
      <c r="C4" s="5" t="s">
        <v>24</v>
      </c>
      <c r="D4" s="5"/>
      <c r="E4" s="5" t="s">
        <v>25</v>
      </c>
      <c r="F4" s="5" t="s">
        <v>26</v>
      </c>
      <c r="G4" s="5" t="s">
        <v>27</v>
      </c>
      <c r="H4" s="5" t="s">
        <v>52</v>
      </c>
    </row>
    <row r="5" spans="1:12" x14ac:dyDescent="0.2">
      <c r="A5" s="614" t="s">
        <v>196</v>
      </c>
      <c r="B5" s="614" t="s">
        <v>197</v>
      </c>
      <c r="C5" s="618">
        <v>2031</v>
      </c>
      <c r="D5" s="17" t="s">
        <v>198</v>
      </c>
      <c r="E5" s="134">
        <v>92225.245750736503</v>
      </c>
      <c r="F5" s="135">
        <v>374265.42718831002</v>
      </c>
      <c r="G5" s="136">
        <v>4.0581667648776198</v>
      </c>
      <c r="H5" s="622">
        <v>18.6560607707986</v>
      </c>
    </row>
    <row r="6" spans="1:12" ht="25.5" x14ac:dyDescent="0.2">
      <c r="A6" s="614" t="s">
        <v>196</v>
      </c>
      <c r="B6" s="614" t="s">
        <v>197</v>
      </c>
      <c r="C6" s="618">
        <v>2031</v>
      </c>
      <c r="D6" s="17" t="s">
        <v>199</v>
      </c>
      <c r="E6" s="134">
        <v>41725.881717263503</v>
      </c>
      <c r="F6" s="135">
        <v>124070.37156859299</v>
      </c>
      <c r="G6" s="136">
        <v>2.9734631471492801</v>
      </c>
      <c r="H6" s="622" t="s">
        <v>60</v>
      </c>
    </row>
    <row r="7" spans="1:12" ht="25.5" x14ac:dyDescent="0.2">
      <c r="A7" s="614" t="s">
        <v>196</v>
      </c>
      <c r="B7" s="17" t="s">
        <v>200</v>
      </c>
      <c r="C7" s="133">
        <v>236</v>
      </c>
      <c r="D7" s="17" t="s">
        <v>199</v>
      </c>
      <c r="E7" s="134">
        <v>6544.8940000000002</v>
      </c>
      <c r="F7" s="135">
        <v>12851.366</v>
      </c>
      <c r="G7" s="136">
        <v>1.9635712969530099</v>
      </c>
      <c r="H7" s="137" t="s">
        <v>60</v>
      </c>
    </row>
    <row r="8" spans="1:12" x14ac:dyDescent="0.2">
      <c r="A8" s="614" t="s">
        <v>201</v>
      </c>
      <c r="B8" s="614" t="s">
        <v>197</v>
      </c>
      <c r="C8" s="618">
        <v>141</v>
      </c>
      <c r="D8" s="17" t="s">
        <v>198</v>
      </c>
      <c r="E8" s="134">
        <v>721.39201959567004</v>
      </c>
      <c r="F8" s="135">
        <v>5765.37110252803</v>
      </c>
      <c r="G8" s="136">
        <v>7.9920084308105297</v>
      </c>
      <c r="H8" s="622">
        <v>47.077898731567103</v>
      </c>
    </row>
    <row r="9" spans="1:12" ht="25.5" x14ac:dyDescent="0.2">
      <c r="A9" s="614" t="s">
        <v>201</v>
      </c>
      <c r="B9" s="614" t="s">
        <v>197</v>
      </c>
      <c r="C9" s="618">
        <v>141</v>
      </c>
      <c r="D9" s="17" t="s">
        <v>199</v>
      </c>
      <c r="E9" s="134">
        <v>500.74598040432898</v>
      </c>
      <c r="F9" s="135">
        <v>2760.5588974719699</v>
      </c>
      <c r="G9" s="136">
        <v>5.5128927749813199</v>
      </c>
      <c r="H9" s="622" t="s">
        <v>60</v>
      </c>
    </row>
    <row r="10" spans="1:12" x14ac:dyDescent="0.2">
      <c r="A10" s="614" t="s">
        <v>202</v>
      </c>
      <c r="B10" s="614" t="s">
        <v>197</v>
      </c>
      <c r="C10" s="618">
        <v>436</v>
      </c>
      <c r="D10" s="17" t="s">
        <v>198</v>
      </c>
      <c r="E10" s="134">
        <v>44192.242822413202</v>
      </c>
      <c r="F10" s="135">
        <v>93141.014425365807</v>
      </c>
      <c r="G10" s="136">
        <v>2.1076326630366702</v>
      </c>
      <c r="H10" s="622">
        <v>12.002863176187001</v>
      </c>
    </row>
    <row r="11" spans="1:12" ht="25.5" x14ac:dyDescent="0.2">
      <c r="A11" s="614" t="s">
        <v>202</v>
      </c>
      <c r="B11" s="614" t="s">
        <v>197</v>
      </c>
      <c r="C11" s="618">
        <v>429</v>
      </c>
      <c r="D11" s="17" t="s">
        <v>199</v>
      </c>
      <c r="E11" s="134">
        <v>8717.1801775868407</v>
      </c>
      <c r="F11" s="135">
        <v>15305.0194746342</v>
      </c>
      <c r="G11" s="136">
        <v>1.75573054162465</v>
      </c>
      <c r="H11" s="622" t="s">
        <v>60</v>
      </c>
    </row>
    <row r="12" spans="1:12" ht="25.5" x14ac:dyDescent="0.2">
      <c r="A12" s="614" t="s">
        <v>202</v>
      </c>
      <c r="B12" s="17" t="s">
        <v>200</v>
      </c>
      <c r="C12" s="133">
        <v>21</v>
      </c>
      <c r="D12" s="17" t="s">
        <v>199</v>
      </c>
      <c r="E12" s="134">
        <v>2584.4070000000002</v>
      </c>
      <c r="F12" s="135">
        <v>2881.6550000000002</v>
      </c>
      <c r="G12" s="136">
        <v>1.11501593982682</v>
      </c>
      <c r="H12" s="137" t="s">
        <v>60</v>
      </c>
    </row>
    <row r="13" spans="1:12" x14ac:dyDescent="0.2">
      <c r="A13" s="614" t="s">
        <v>203</v>
      </c>
      <c r="B13" s="614" t="s">
        <v>197</v>
      </c>
      <c r="C13" s="618">
        <v>206</v>
      </c>
      <c r="D13" s="17" t="s">
        <v>198</v>
      </c>
      <c r="E13" s="134">
        <v>4651.6147978188201</v>
      </c>
      <c r="F13" s="135">
        <v>7920.8368174010602</v>
      </c>
      <c r="G13" s="136">
        <v>1.70281443362748</v>
      </c>
      <c r="H13" s="622">
        <v>21.215109891868</v>
      </c>
    </row>
    <row r="14" spans="1:12" ht="25.5" x14ac:dyDescent="0.2">
      <c r="A14" s="614" t="s">
        <v>203</v>
      </c>
      <c r="B14" s="614" t="s">
        <v>197</v>
      </c>
      <c r="C14" s="618">
        <v>205</v>
      </c>
      <c r="D14" s="17" t="s">
        <v>199</v>
      </c>
      <c r="E14" s="134">
        <v>973.73320218118397</v>
      </c>
      <c r="F14" s="135">
        <v>1121.5221825989399</v>
      </c>
      <c r="G14" s="136">
        <v>1.1517756404800601</v>
      </c>
      <c r="H14" s="622" t="s">
        <v>60</v>
      </c>
    </row>
    <row r="15" spans="1:12" ht="25.5" x14ac:dyDescent="0.2">
      <c r="A15" s="614" t="s">
        <v>203</v>
      </c>
      <c r="B15" s="17" t="s">
        <v>200</v>
      </c>
      <c r="C15" s="133">
        <v>6</v>
      </c>
      <c r="D15" s="17" t="s">
        <v>199</v>
      </c>
      <c r="E15" s="134">
        <v>79.45</v>
      </c>
      <c r="F15" s="135">
        <v>48.366999999999997</v>
      </c>
      <c r="G15" s="136">
        <v>0.60877281308999398</v>
      </c>
      <c r="H15" s="137" t="s">
        <v>60</v>
      </c>
    </row>
    <row r="16" spans="1:12" x14ac:dyDescent="0.2">
      <c r="A16" s="614" t="s">
        <v>204</v>
      </c>
      <c r="B16" s="614" t="s">
        <v>197</v>
      </c>
      <c r="C16" s="618">
        <v>50</v>
      </c>
      <c r="D16" s="17" t="s">
        <v>198</v>
      </c>
      <c r="E16" s="134">
        <v>1481.37715282256</v>
      </c>
      <c r="F16" s="135">
        <v>4120.6917018914701</v>
      </c>
      <c r="G16" s="136">
        <v>2.7816627886018499</v>
      </c>
      <c r="H16" s="622">
        <v>8.9411051699746498</v>
      </c>
    </row>
    <row r="17" spans="1:8" ht="25.5" x14ac:dyDescent="0.2">
      <c r="A17" s="614" t="s">
        <v>204</v>
      </c>
      <c r="B17" s="614" t="s">
        <v>197</v>
      </c>
      <c r="C17" s="618">
        <v>50</v>
      </c>
      <c r="D17" s="17" t="s">
        <v>199</v>
      </c>
      <c r="E17" s="134">
        <v>542.36584717743699</v>
      </c>
      <c r="F17" s="135">
        <v>1159.0982981085299</v>
      </c>
      <c r="G17" s="136">
        <v>2.1371152039544299</v>
      </c>
      <c r="H17" s="622" t="s">
        <v>60</v>
      </c>
    </row>
    <row r="18" spans="1:8" x14ac:dyDescent="0.2">
      <c r="A18" s="614" t="s">
        <v>205</v>
      </c>
      <c r="B18" s="614" t="s">
        <v>197</v>
      </c>
      <c r="C18" s="618">
        <v>167</v>
      </c>
      <c r="D18" s="17" t="s">
        <v>198</v>
      </c>
      <c r="E18" s="134">
        <v>1045.2813546432001</v>
      </c>
      <c r="F18" s="135">
        <v>7853.4829300987603</v>
      </c>
      <c r="G18" s="136">
        <v>7.5132718049672702</v>
      </c>
      <c r="H18" s="622">
        <v>7.8047851901919296</v>
      </c>
    </row>
    <row r="19" spans="1:8" ht="25.5" x14ac:dyDescent="0.2">
      <c r="A19" s="614" t="s">
        <v>205</v>
      </c>
      <c r="B19" s="614" t="s">
        <v>197</v>
      </c>
      <c r="C19" s="618">
        <v>167</v>
      </c>
      <c r="D19" s="17" t="s">
        <v>199</v>
      </c>
      <c r="E19" s="134">
        <v>203.404645356798</v>
      </c>
      <c r="F19" s="135">
        <v>1173.58906990124</v>
      </c>
      <c r="G19" s="136">
        <v>5.7697259954049303</v>
      </c>
      <c r="H19" s="622" t="s">
        <v>60</v>
      </c>
    </row>
    <row r="20" spans="1:8" x14ac:dyDescent="0.2">
      <c r="A20" s="614" t="s">
        <v>206</v>
      </c>
      <c r="B20" s="614" t="s">
        <v>197</v>
      </c>
      <c r="C20" s="618">
        <v>88</v>
      </c>
      <c r="D20" s="17" t="s">
        <v>198</v>
      </c>
      <c r="E20" s="134">
        <v>768.34402578582603</v>
      </c>
      <c r="F20" s="135">
        <v>3534.4330264959699</v>
      </c>
      <c r="G20" s="136">
        <v>4.6000657360238</v>
      </c>
      <c r="H20" s="622">
        <v>3.8794593092930798</v>
      </c>
    </row>
    <row r="21" spans="1:8" ht="25.5" x14ac:dyDescent="0.2">
      <c r="A21" s="614" t="s">
        <v>206</v>
      </c>
      <c r="B21" s="614" t="s">
        <v>197</v>
      </c>
      <c r="C21" s="618">
        <v>88</v>
      </c>
      <c r="D21" s="17" t="s">
        <v>199</v>
      </c>
      <c r="E21" s="134">
        <v>91.962974214173897</v>
      </c>
      <c r="F21" s="135">
        <v>500.17297350403197</v>
      </c>
      <c r="G21" s="136">
        <v>5.4388516441320398</v>
      </c>
      <c r="H21" s="622" t="s">
        <v>60</v>
      </c>
    </row>
    <row r="22" spans="1:8" ht="28.5" customHeight="1" x14ac:dyDescent="0.2">
      <c r="A22" s="608" t="s">
        <v>207</v>
      </c>
      <c r="B22" s="609"/>
      <c r="C22" s="609"/>
      <c r="D22" s="609"/>
      <c r="E22" s="609"/>
      <c r="F22" s="609"/>
      <c r="G22" s="609"/>
      <c r="H22" s="609"/>
    </row>
    <row r="23" spans="1:8" x14ac:dyDescent="0.2">
      <c r="A23" s="608" t="s">
        <v>45</v>
      </c>
      <c r="B23" s="609"/>
      <c r="C23" s="609"/>
      <c r="D23" s="609"/>
      <c r="E23" s="609"/>
      <c r="F23" s="609"/>
      <c r="G23" s="609"/>
      <c r="H23" s="609"/>
    </row>
    <row r="24" spans="1:8" ht="35.25" customHeight="1" x14ac:dyDescent="0.2">
      <c r="A24" s="608" t="s">
        <v>208</v>
      </c>
      <c r="B24" s="609"/>
      <c r="C24" s="609"/>
      <c r="D24" s="609"/>
      <c r="E24" s="609"/>
      <c r="F24" s="609"/>
      <c r="G24" s="609"/>
      <c r="H24" s="609"/>
    </row>
    <row r="25" spans="1:8" x14ac:dyDescent="0.2">
      <c r="A25" s="608" t="s">
        <v>45</v>
      </c>
      <c r="B25" s="609"/>
      <c r="C25" s="609"/>
      <c r="D25" s="609"/>
      <c r="E25" s="609"/>
      <c r="F25" s="609"/>
      <c r="G25" s="609"/>
      <c r="H25" s="609"/>
    </row>
    <row r="26" spans="1:8" x14ac:dyDescent="0.2">
      <c r="A26" s="610" t="s">
        <v>209</v>
      </c>
      <c r="B26" s="609"/>
      <c r="C26" s="609"/>
      <c r="D26" s="609"/>
      <c r="E26" s="609"/>
      <c r="F26" s="609"/>
      <c r="G26" s="609"/>
      <c r="H26" s="609"/>
    </row>
  </sheetData>
  <mergeCells count="36">
    <mergeCell ref="H13:H14"/>
    <mergeCell ref="H16:H17"/>
    <mergeCell ref="J1:L2"/>
    <mergeCell ref="A1:H1"/>
    <mergeCell ref="A4:B4"/>
    <mergeCell ref="C5:C6"/>
    <mergeCell ref="C8:C9"/>
    <mergeCell ref="C10:C11"/>
    <mergeCell ref="C13:C14"/>
    <mergeCell ref="C16:C17"/>
    <mergeCell ref="H5:H6"/>
    <mergeCell ref="H8:H9"/>
    <mergeCell ref="H10:H11"/>
    <mergeCell ref="B5:B6"/>
    <mergeCell ref="B8:B9"/>
    <mergeCell ref="B10:B11"/>
    <mergeCell ref="B13:B14"/>
    <mergeCell ref="B16:B17"/>
    <mergeCell ref="A5:A7"/>
    <mergeCell ref="A8:A9"/>
    <mergeCell ref="A10:A12"/>
    <mergeCell ref="A13:A15"/>
    <mergeCell ref="A16:A17"/>
    <mergeCell ref="H18:H19"/>
    <mergeCell ref="H20:H21"/>
    <mergeCell ref="A24:H24"/>
    <mergeCell ref="A25:H25"/>
    <mergeCell ref="A26:H26"/>
    <mergeCell ref="A18:A19"/>
    <mergeCell ref="A20:A21"/>
    <mergeCell ref="B18:B19"/>
    <mergeCell ref="A22:H22"/>
    <mergeCell ref="A23:H23"/>
    <mergeCell ref="B20:B21"/>
    <mergeCell ref="C18:C19"/>
    <mergeCell ref="C20:C21"/>
  </mergeCells>
  <pageMargins left="0.6" right="0.79" top="0.79" bottom="1.06" header="0.3" footer="0.3"/>
  <pageSetup paperSize="9" fitToWidth="0" fitToHeight="0"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topLeftCell="A52" workbookViewId="0">
      <selection activeCell="J1" sqref="J1:L2"/>
    </sheetView>
  </sheetViews>
  <sheetFormatPr baseColWidth="10" defaultColWidth="9.140625" defaultRowHeight="12.75" x14ac:dyDescent="0.2"/>
  <cols>
    <col min="1" max="1" width="11.7109375" customWidth="1"/>
    <col min="2" max="2" width="15.7109375" customWidth="1"/>
    <col min="3" max="3" width="12.140625" customWidth="1"/>
    <col min="4" max="4" width="13.7109375" customWidth="1"/>
    <col min="5" max="5" width="8.7109375" customWidth="1"/>
    <col min="6" max="6" width="9.140625" customWidth="1"/>
    <col min="7" max="7" width="8.140625" customWidth="1"/>
    <col min="8" max="8" width="8.7109375" customWidth="1"/>
  </cols>
  <sheetData>
    <row r="1" spans="1:12" ht="51" customHeight="1" x14ac:dyDescent="0.2">
      <c r="A1" s="612" t="s">
        <v>210</v>
      </c>
      <c r="B1" s="609"/>
      <c r="C1" s="609"/>
      <c r="D1" s="609"/>
      <c r="E1" s="609"/>
      <c r="F1" s="609"/>
      <c r="G1" s="609"/>
      <c r="H1" s="609"/>
      <c r="J1" s="611" t="str">
        <f>HYPERLINK("#'sommaire'!A1", "Retour sommaire")</f>
        <v>Retour sommaire</v>
      </c>
      <c r="K1" s="609"/>
      <c r="L1" s="609"/>
    </row>
    <row r="2" spans="1:12" x14ac:dyDescent="0.2">
      <c r="J2" s="609"/>
      <c r="K2" s="609"/>
      <c r="L2" s="609"/>
    </row>
    <row r="3" spans="1:12" ht="38.25" x14ac:dyDescent="0.2">
      <c r="A3" s="4" t="s">
        <v>19</v>
      </c>
      <c r="B3" s="4" t="s">
        <v>192</v>
      </c>
      <c r="C3" s="4" t="s">
        <v>193</v>
      </c>
      <c r="D3" s="4" t="s">
        <v>194</v>
      </c>
      <c r="E3" s="4" t="s">
        <v>21</v>
      </c>
      <c r="F3" s="4" t="s">
        <v>22</v>
      </c>
      <c r="G3" s="4" t="s">
        <v>23</v>
      </c>
      <c r="H3" s="4" t="s">
        <v>195</v>
      </c>
    </row>
    <row r="4" spans="1:12" ht="25.5" x14ac:dyDescent="0.2">
      <c r="A4" s="613"/>
      <c r="B4" s="613"/>
      <c r="C4" s="5" t="s">
        <v>24</v>
      </c>
      <c r="D4" s="5"/>
      <c r="E4" s="5" t="s">
        <v>25</v>
      </c>
      <c r="F4" s="5" t="s">
        <v>26</v>
      </c>
      <c r="G4" s="5" t="s">
        <v>27</v>
      </c>
      <c r="H4" s="5" t="s">
        <v>52</v>
      </c>
    </row>
    <row r="5" spans="1:12" x14ac:dyDescent="0.2">
      <c r="A5" s="623" t="s">
        <v>108</v>
      </c>
      <c r="B5" s="623"/>
      <c r="C5" s="624"/>
      <c r="D5" s="623"/>
      <c r="E5" s="624"/>
      <c r="F5" s="624"/>
      <c r="G5" s="625"/>
      <c r="H5" s="625"/>
    </row>
    <row r="6" spans="1:12" x14ac:dyDescent="0.2">
      <c r="A6" s="614" t="s">
        <v>29</v>
      </c>
      <c r="B6" s="614" t="s">
        <v>197</v>
      </c>
      <c r="C6" s="618">
        <v>256</v>
      </c>
      <c r="D6" s="17" t="s">
        <v>198</v>
      </c>
      <c r="E6" s="139">
        <v>10578.973231846499</v>
      </c>
      <c r="F6" s="140">
        <v>41856.214753298103</v>
      </c>
      <c r="G6" s="141">
        <v>3.9565479405218502</v>
      </c>
      <c r="H6" s="622">
        <v>21.7274767028902</v>
      </c>
    </row>
    <row r="7" spans="1:12" ht="25.5" x14ac:dyDescent="0.2">
      <c r="A7" s="614" t="s">
        <v>29</v>
      </c>
      <c r="B7" s="614" t="s">
        <v>197</v>
      </c>
      <c r="C7" s="618">
        <v>256</v>
      </c>
      <c r="D7" s="17" t="s">
        <v>199</v>
      </c>
      <c r="E7" s="139">
        <v>11420.536768153501</v>
      </c>
      <c r="F7" s="140">
        <v>36877.4472467019</v>
      </c>
      <c r="G7" s="141">
        <v>3.22904675982794</v>
      </c>
      <c r="H7" s="622">
        <v>21.7274767028902</v>
      </c>
    </row>
    <row r="8" spans="1:12" ht="25.5" x14ac:dyDescent="0.2">
      <c r="A8" s="614" t="s">
        <v>29</v>
      </c>
      <c r="B8" s="17" t="s">
        <v>200</v>
      </c>
      <c r="C8" s="138">
        <v>58</v>
      </c>
      <c r="D8" s="17" t="s">
        <v>199</v>
      </c>
      <c r="E8" s="139">
        <v>3518.549</v>
      </c>
      <c r="F8" s="140">
        <v>4824.1459999999997</v>
      </c>
      <c r="G8" s="141">
        <v>1.37106119596459</v>
      </c>
      <c r="H8" s="142" t="s">
        <v>60</v>
      </c>
    </row>
    <row r="9" spans="1:12" x14ac:dyDescent="0.2">
      <c r="A9" s="614" t="s">
        <v>30</v>
      </c>
      <c r="B9" s="614" t="s">
        <v>197</v>
      </c>
      <c r="C9" s="618">
        <v>111</v>
      </c>
      <c r="D9" s="17" t="s">
        <v>198</v>
      </c>
      <c r="E9" s="139">
        <v>12469.8929730036</v>
      </c>
      <c r="F9" s="140">
        <v>23091.006430952799</v>
      </c>
      <c r="G9" s="141">
        <v>1.8517405466865799</v>
      </c>
      <c r="H9" s="622">
        <v>14.637652545596399</v>
      </c>
    </row>
    <row r="10" spans="1:12" ht="25.5" x14ac:dyDescent="0.2">
      <c r="A10" s="614" t="s">
        <v>30</v>
      </c>
      <c r="B10" s="614" t="s">
        <v>197</v>
      </c>
      <c r="C10" s="618">
        <v>111</v>
      </c>
      <c r="D10" s="17" t="s">
        <v>199</v>
      </c>
      <c r="E10" s="139">
        <v>1710.9490269963901</v>
      </c>
      <c r="F10" s="140">
        <v>2725.8795690472102</v>
      </c>
      <c r="G10" s="141">
        <v>1.5931974161922</v>
      </c>
      <c r="H10" s="622">
        <v>14.637652545596399</v>
      </c>
    </row>
    <row r="11" spans="1:12" ht="25.5" x14ac:dyDescent="0.2">
      <c r="A11" s="614" t="s">
        <v>30</v>
      </c>
      <c r="B11" s="17" t="s">
        <v>200</v>
      </c>
      <c r="C11" s="138">
        <v>3</v>
      </c>
      <c r="D11" s="17" t="s">
        <v>199</v>
      </c>
      <c r="E11" s="139" t="s">
        <v>74</v>
      </c>
      <c r="F11" s="140" t="s">
        <v>74</v>
      </c>
      <c r="G11" s="141" t="s">
        <v>74</v>
      </c>
      <c r="H11" s="142" t="s">
        <v>60</v>
      </c>
    </row>
    <row r="12" spans="1:12" x14ac:dyDescent="0.2">
      <c r="A12" s="614" t="s">
        <v>211</v>
      </c>
      <c r="B12" s="614" t="s">
        <v>197</v>
      </c>
      <c r="C12" s="618">
        <v>9</v>
      </c>
      <c r="D12" s="17" t="s">
        <v>198</v>
      </c>
      <c r="E12" s="139" t="s">
        <v>74</v>
      </c>
      <c r="F12" s="140" t="s">
        <v>74</v>
      </c>
      <c r="G12" s="141" t="s">
        <v>74</v>
      </c>
      <c r="H12" s="622">
        <v>1.6652265361593801</v>
      </c>
    </row>
    <row r="13" spans="1:12" ht="25.5" x14ac:dyDescent="0.2">
      <c r="A13" s="614" t="s">
        <v>211</v>
      </c>
      <c r="B13" s="614" t="s">
        <v>197</v>
      </c>
      <c r="C13" s="618">
        <v>9</v>
      </c>
      <c r="D13" s="17" t="s">
        <v>199</v>
      </c>
      <c r="E13" s="139" t="s">
        <v>74</v>
      </c>
      <c r="F13" s="140" t="s">
        <v>74</v>
      </c>
      <c r="G13" s="141" t="s">
        <v>74</v>
      </c>
      <c r="H13" s="622">
        <v>1.6652265361593801</v>
      </c>
    </row>
    <row r="14" spans="1:12" x14ac:dyDescent="0.2">
      <c r="A14" s="623" t="s">
        <v>109</v>
      </c>
      <c r="B14" s="623"/>
      <c r="C14" s="624"/>
      <c r="D14" s="623"/>
      <c r="E14" s="624"/>
      <c r="F14" s="624"/>
      <c r="G14" s="625"/>
      <c r="H14" s="625"/>
    </row>
    <row r="15" spans="1:12" x14ac:dyDescent="0.2">
      <c r="A15" s="614" t="s">
        <v>29</v>
      </c>
      <c r="B15" s="614" t="s">
        <v>197</v>
      </c>
      <c r="C15" s="618">
        <v>157</v>
      </c>
      <c r="D15" s="17" t="s">
        <v>198</v>
      </c>
      <c r="E15" s="139">
        <v>7326.9022849512303</v>
      </c>
      <c r="F15" s="140">
        <v>28286.404947512801</v>
      </c>
      <c r="G15" s="141">
        <v>3.8606226543529099</v>
      </c>
      <c r="H15" s="622">
        <v>21.002104504523601</v>
      </c>
    </row>
    <row r="16" spans="1:12" ht="25.5" x14ac:dyDescent="0.2">
      <c r="A16" s="614" t="s">
        <v>29</v>
      </c>
      <c r="B16" s="614" t="s">
        <v>197</v>
      </c>
      <c r="C16" s="618">
        <v>157</v>
      </c>
      <c r="D16" s="17" t="s">
        <v>199</v>
      </c>
      <c r="E16" s="139">
        <v>4009.25771504877</v>
      </c>
      <c r="F16" s="140">
        <v>10025.3297524872</v>
      </c>
      <c r="G16" s="141">
        <v>2.50054510461052</v>
      </c>
      <c r="H16" s="622">
        <v>21.002104504523601</v>
      </c>
    </row>
    <row r="17" spans="1:8" ht="25.5" x14ac:dyDescent="0.2">
      <c r="A17" s="614" t="s">
        <v>29</v>
      </c>
      <c r="B17" s="17" t="s">
        <v>200</v>
      </c>
      <c r="C17" s="138">
        <v>19</v>
      </c>
      <c r="D17" s="17" t="s">
        <v>199</v>
      </c>
      <c r="E17" s="139">
        <v>627.03499999999997</v>
      </c>
      <c r="F17" s="140">
        <v>1762.7270000000001</v>
      </c>
      <c r="G17" s="141">
        <v>2.8112099005637599</v>
      </c>
      <c r="H17" s="142" t="s">
        <v>60</v>
      </c>
    </row>
    <row r="18" spans="1:8" x14ac:dyDescent="0.2">
      <c r="A18" s="614" t="s">
        <v>30</v>
      </c>
      <c r="B18" s="614" t="s">
        <v>197</v>
      </c>
      <c r="C18" s="618">
        <v>95</v>
      </c>
      <c r="D18" s="17" t="s">
        <v>198</v>
      </c>
      <c r="E18" s="139">
        <v>18049.6351896009</v>
      </c>
      <c r="F18" s="140">
        <v>39524.5452497968</v>
      </c>
      <c r="G18" s="141">
        <v>2.1897697562645702</v>
      </c>
      <c r="H18" s="622">
        <v>7.3485236670737999</v>
      </c>
    </row>
    <row r="19" spans="1:8" ht="25.5" x14ac:dyDescent="0.2">
      <c r="A19" s="614" t="s">
        <v>30</v>
      </c>
      <c r="B19" s="614" t="s">
        <v>197</v>
      </c>
      <c r="C19" s="618">
        <v>88</v>
      </c>
      <c r="D19" s="17" t="s">
        <v>199</v>
      </c>
      <c r="E19" s="139">
        <v>2345.1548103991199</v>
      </c>
      <c r="F19" s="140">
        <v>4427.0407502031803</v>
      </c>
      <c r="G19" s="141">
        <v>1.88773923605059</v>
      </c>
      <c r="H19" s="622">
        <v>7.3485236670737999</v>
      </c>
    </row>
    <row r="20" spans="1:8" ht="25.5" x14ac:dyDescent="0.2">
      <c r="A20" s="614" t="s">
        <v>30</v>
      </c>
      <c r="B20" s="17" t="s">
        <v>200</v>
      </c>
      <c r="C20" s="138">
        <v>4</v>
      </c>
      <c r="D20" s="17" t="s">
        <v>199</v>
      </c>
      <c r="E20" s="139">
        <v>673</v>
      </c>
      <c r="F20" s="140">
        <v>1179.7</v>
      </c>
      <c r="G20" s="141">
        <v>1.75289747399703</v>
      </c>
      <c r="H20" s="142" t="s">
        <v>60</v>
      </c>
    </row>
    <row r="21" spans="1:8" x14ac:dyDescent="0.2">
      <c r="A21" s="614" t="s">
        <v>211</v>
      </c>
      <c r="B21" s="614" t="s">
        <v>197</v>
      </c>
      <c r="C21" s="618">
        <v>22</v>
      </c>
      <c r="D21" s="17" t="s">
        <v>198</v>
      </c>
      <c r="E21" s="139">
        <v>713.52221874858697</v>
      </c>
      <c r="F21" s="140">
        <v>2561.6645996365601</v>
      </c>
      <c r="G21" s="141">
        <v>3.5901679475788999</v>
      </c>
      <c r="H21" s="622">
        <v>2.0760861390683298</v>
      </c>
    </row>
    <row r="22" spans="1:8" ht="25.5" x14ac:dyDescent="0.2">
      <c r="A22" s="614" t="s">
        <v>211</v>
      </c>
      <c r="B22" s="614" t="s">
        <v>197</v>
      </c>
      <c r="C22" s="618">
        <v>22</v>
      </c>
      <c r="D22" s="17" t="s">
        <v>199</v>
      </c>
      <c r="E22" s="139">
        <v>57.695781251412797</v>
      </c>
      <c r="F22" s="140">
        <v>188.63940036344201</v>
      </c>
      <c r="G22" s="141">
        <v>3.2695527518976499</v>
      </c>
      <c r="H22" s="622">
        <v>2.0760861390683298</v>
      </c>
    </row>
    <row r="23" spans="1:8" x14ac:dyDescent="0.2">
      <c r="A23" s="623" t="s">
        <v>110</v>
      </c>
      <c r="B23" s="623"/>
      <c r="C23" s="624"/>
      <c r="D23" s="623"/>
      <c r="E23" s="624"/>
      <c r="F23" s="624"/>
      <c r="G23" s="625"/>
      <c r="H23" s="625"/>
    </row>
    <row r="24" spans="1:8" x14ac:dyDescent="0.2">
      <c r="A24" s="614" t="s">
        <v>29</v>
      </c>
      <c r="B24" s="614" t="s">
        <v>197</v>
      </c>
      <c r="C24" s="618">
        <v>333</v>
      </c>
      <c r="D24" s="17" t="s">
        <v>198</v>
      </c>
      <c r="E24" s="139">
        <v>8640.8474030676607</v>
      </c>
      <c r="F24" s="140">
        <v>37767.089276935898</v>
      </c>
      <c r="G24" s="141">
        <v>4.3707622082908104</v>
      </c>
      <c r="H24" s="622">
        <v>19.396581464574599</v>
      </c>
    </row>
    <row r="25" spans="1:8" ht="25.5" x14ac:dyDescent="0.2">
      <c r="A25" s="614" t="s">
        <v>29</v>
      </c>
      <c r="B25" s="614" t="s">
        <v>197</v>
      </c>
      <c r="C25" s="618">
        <v>333</v>
      </c>
      <c r="D25" s="17" t="s">
        <v>199</v>
      </c>
      <c r="E25" s="139">
        <v>8530.1315969323405</v>
      </c>
      <c r="F25" s="140">
        <v>25925.661623064101</v>
      </c>
      <c r="G25" s="141">
        <v>3.0393038288398402</v>
      </c>
      <c r="H25" s="622">
        <v>19.396581464574599</v>
      </c>
    </row>
    <row r="26" spans="1:8" ht="25.5" x14ac:dyDescent="0.2">
      <c r="A26" s="614" t="s">
        <v>29</v>
      </c>
      <c r="B26" s="17" t="s">
        <v>200</v>
      </c>
      <c r="C26" s="138">
        <v>27</v>
      </c>
      <c r="D26" s="17" t="s">
        <v>199</v>
      </c>
      <c r="E26" s="139">
        <v>667.43100000000004</v>
      </c>
      <c r="F26" s="140">
        <v>1322.222</v>
      </c>
      <c r="G26" s="141">
        <v>1.9810617127463399</v>
      </c>
      <c r="H26" s="142" t="s">
        <v>60</v>
      </c>
    </row>
    <row r="27" spans="1:8" x14ac:dyDescent="0.2">
      <c r="A27" s="614" t="s">
        <v>30</v>
      </c>
      <c r="B27" s="614" t="s">
        <v>197</v>
      </c>
      <c r="C27" s="618">
        <v>87</v>
      </c>
      <c r="D27" s="17" t="s">
        <v>198</v>
      </c>
      <c r="E27" s="139">
        <v>3811.6118662703102</v>
      </c>
      <c r="F27" s="140">
        <v>8153.68906063141</v>
      </c>
      <c r="G27" s="141">
        <v>2.1391708669985499</v>
      </c>
      <c r="H27" s="622">
        <v>12.7052103044261</v>
      </c>
    </row>
    <row r="28" spans="1:8" ht="25.5" x14ac:dyDescent="0.2">
      <c r="A28" s="614" t="s">
        <v>30</v>
      </c>
      <c r="B28" s="614" t="s">
        <v>197</v>
      </c>
      <c r="C28" s="618">
        <v>87</v>
      </c>
      <c r="D28" s="17" t="s">
        <v>199</v>
      </c>
      <c r="E28" s="139">
        <v>1445.6241337296899</v>
      </c>
      <c r="F28" s="140">
        <v>2434.1638393685898</v>
      </c>
      <c r="G28" s="141">
        <v>1.6838151650723201</v>
      </c>
      <c r="H28" s="622">
        <v>12.7052103044261</v>
      </c>
    </row>
    <row r="29" spans="1:8" ht="25.5" x14ac:dyDescent="0.2">
      <c r="A29" s="614" t="s">
        <v>30</v>
      </c>
      <c r="B29" s="17" t="s">
        <v>200</v>
      </c>
      <c r="C29" s="138">
        <v>5</v>
      </c>
      <c r="D29" s="17" t="s">
        <v>199</v>
      </c>
      <c r="E29" s="139">
        <v>1009.3390000000001</v>
      </c>
      <c r="F29" s="140">
        <v>576.79600000000005</v>
      </c>
      <c r="G29" s="141">
        <v>0.57145914306293499</v>
      </c>
      <c r="H29" s="142" t="s">
        <v>60</v>
      </c>
    </row>
    <row r="30" spans="1:8" x14ac:dyDescent="0.2">
      <c r="A30" s="614" t="s">
        <v>211</v>
      </c>
      <c r="B30" s="614" t="s">
        <v>197</v>
      </c>
      <c r="C30" s="618">
        <v>138</v>
      </c>
      <c r="D30" s="17" t="s">
        <v>198</v>
      </c>
      <c r="E30" s="139">
        <v>1827.6366622253599</v>
      </c>
      <c r="F30" s="140">
        <v>7264.0682069878503</v>
      </c>
      <c r="G30" s="141">
        <v>3.9745691017945499</v>
      </c>
      <c r="H30" s="622">
        <v>10.0382688958051</v>
      </c>
    </row>
    <row r="31" spans="1:8" ht="25.5" x14ac:dyDescent="0.2">
      <c r="A31" s="614" t="s">
        <v>211</v>
      </c>
      <c r="B31" s="614" t="s">
        <v>197</v>
      </c>
      <c r="C31" s="618">
        <v>138</v>
      </c>
      <c r="D31" s="17" t="s">
        <v>199</v>
      </c>
      <c r="E31" s="139">
        <v>682.39133777463599</v>
      </c>
      <c r="F31" s="140">
        <v>2116.6067930121499</v>
      </c>
      <c r="G31" s="141">
        <v>3.10174921023276</v>
      </c>
      <c r="H31" s="622">
        <v>10.0382688958051</v>
      </c>
    </row>
    <row r="32" spans="1:8" x14ac:dyDescent="0.2">
      <c r="A32" s="623" t="s">
        <v>111</v>
      </c>
      <c r="B32" s="623"/>
      <c r="C32" s="624"/>
      <c r="D32" s="623"/>
      <c r="E32" s="624"/>
      <c r="F32" s="624"/>
      <c r="G32" s="625"/>
      <c r="H32" s="625"/>
    </row>
    <row r="33" spans="1:8" x14ac:dyDescent="0.2">
      <c r="A33" s="614" t="s">
        <v>29</v>
      </c>
      <c r="B33" s="614" t="s">
        <v>197</v>
      </c>
      <c r="C33" s="618">
        <v>187</v>
      </c>
      <c r="D33" s="17" t="s">
        <v>198</v>
      </c>
      <c r="E33" s="139">
        <v>7951.9825479233496</v>
      </c>
      <c r="F33" s="140">
        <v>31961.193347463799</v>
      </c>
      <c r="G33" s="141">
        <v>4.01927357798471</v>
      </c>
      <c r="H33" s="622">
        <v>23.607995632744299</v>
      </c>
    </row>
    <row r="34" spans="1:8" ht="25.5" x14ac:dyDescent="0.2">
      <c r="A34" s="614" t="s">
        <v>29</v>
      </c>
      <c r="B34" s="614" t="s">
        <v>197</v>
      </c>
      <c r="C34" s="618">
        <v>187</v>
      </c>
      <c r="D34" s="17" t="s">
        <v>199</v>
      </c>
      <c r="E34" s="139">
        <v>1894.01745207665</v>
      </c>
      <c r="F34" s="140">
        <v>6328.4566525361897</v>
      </c>
      <c r="G34" s="141">
        <v>3.3412874023929899</v>
      </c>
      <c r="H34" s="622">
        <v>23.607995632744299</v>
      </c>
    </row>
    <row r="35" spans="1:8" ht="25.5" x14ac:dyDescent="0.2">
      <c r="A35" s="614" t="s">
        <v>29</v>
      </c>
      <c r="B35" s="17" t="s">
        <v>200</v>
      </c>
      <c r="C35" s="138">
        <v>10</v>
      </c>
      <c r="D35" s="17" t="s">
        <v>199</v>
      </c>
      <c r="E35" s="139" t="s">
        <v>74</v>
      </c>
      <c r="F35" s="140" t="s">
        <v>74</v>
      </c>
      <c r="G35" s="141" t="s">
        <v>74</v>
      </c>
      <c r="H35" s="142" t="s">
        <v>60</v>
      </c>
    </row>
    <row r="36" spans="1:8" x14ac:dyDescent="0.2">
      <c r="A36" s="614" t="s">
        <v>30</v>
      </c>
      <c r="B36" s="614" t="s">
        <v>197</v>
      </c>
      <c r="C36" s="618">
        <v>49</v>
      </c>
      <c r="D36" s="17" t="s">
        <v>198</v>
      </c>
      <c r="E36" s="139">
        <v>3615.3712356507199</v>
      </c>
      <c r="F36" s="140">
        <v>8634.42554832104</v>
      </c>
      <c r="G36" s="141">
        <v>2.3882542028265501</v>
      </c>
      <c r="H36" s="622">
        <v>21.348393081348899</v>
      </c>
    </row>
    <row r="37" spans="1:8" ht="25.5" x14ac:dyDescent="0.2">
      <c r="A37" s="614" t="s">
        <v>30</v>
      </c>
      <c r="B37" s="614" t="s">
        <v>197</v>
      </c>
      <c r="C37" s="618">
        <v>49</v>
      </c>
      <c r="D37" s="17" t="s">
        <v>199</v>
      </c>
      <c r="E37" s="139">
        <v>635.34176434928202</v>
      </c>
      <c r="F37" s="140">
        <v>1239.77845167896</v>
      </c>
      <c r="G37" s="141">
        <v>1.95135676772129</v>
      </c>
      <c r="H37" s="622">
        <v>21.348393081348899</v>
      </c>
    </row>
    <row r="38" spans="1:8" ht="25.5" x14ac:dyDescent="0.2">
      <c r="A38" s="614" t="s">
        <v>30</v>
      </c>
      <c r="B38" s="17" t="s">
        <v>200</v>
      </c>
      <c r="C38" s="138">
        <v>3</v>
      </c>
      <c r="D38" s="17" t="s">
        <v>199</v>
      </c>
      <c r="E38" s="139">
        <v>202</v>
      </c>
      <c r="F38" s="140">
        <v>227.714</v>
      </c>
      <c r="G38" s="141">
        <v>1.1272970297029701</v>
      </c>
      <c r="H38" s="142" t="s">
        <v>60</v>
      </c>
    </row>
    <row r="39" spans="1:8" x14ac:dyDescent="0.2">
      <c r="A39" s="614" t="s">
        <v>211</v>
      </c>
      <c r="B39" s="614" t="s">
        <v>197</v>
      </c>
      <c r="C39" s="618">
        <v>43</v>
      </c>
      <c r="D39" s="17" t="s">
        <v>198</v>
      </c>
      <c r="E39" s="139">
        <v>72.860718876452097</v>
      </c>
      <c r="F39" s="140">
        <v>498.89007563682401</v>
      </c>
      <c r="G39" s="141">
        <v>6.8471747648109096</v>
      </c>
      <c r="H39" s="622">
        <v>7.86111414849145</v>
      </c>
    </row>
    <row r="40" spans="1:8" ht="25.5" x14ac:dyDescent="0.2">
      <c r="A40" s="614" t="s">
        <v>211</v>
      </c>
      <c r="B40" s="614" t="s">
        <v>197</v>
      </c>
      <c r="C40" s="618">
        <v>43</v>
      </c>
      <c r="D40" s="17" t="s">
        <v>199</v>
      </c>
      <c r="E40" s="139">
        <v>46.028281123547899</v>
      </c>
      <c r="F40" s="140">
        <v>192.73992436317599</v>
      </c>
      <c r="G40" s="141">
        <v>4.1874238980558003</v>
      </c>
      <c r="H40" s="622">
        <v>7.86111414849145</v>
      </c>
    </row>
    <row r="41" spans="1:8" x14ac:dyDescent="0.2">
      <c r="A41" s="623" t="s">
        <v>112</v>
      </c>
      <c r="B41" s="623"/>
      <c r="C41" s="624"/>
      <c r="D41" s="623"/>
      <c r="E41" s="624"/>
      <c r="F41" s="624"/>
      <c r="G41" s="625"/>
      <c r="H41" s="625"/>
    </row>
    <row r="42" spans="1:8" x14ac:dyDescent="0.2">
      <c r="A42" s="614" t="s">
        <v>29</v>
      </c>
      <c r="B42" s="614" t="s">
        <v>197</v>
      </c>
      <c r="C42" s="618">
        <v>607</v>
      </c>
      <c r="D42" s="17" t="s">
        <v>198</v>
      </c>
      <c r="E42" s="139">
        <v>44439.5149471513</v>
      </c>
      <c r="F42" s="140">
        <v>189667.52628656701</v>
      </c>
      <c r="G42" s="141">
        <v>4.26799272026539</v>
      </c>
      <c r="H42" s="622">
        <v>13.1082207454839</v>
      </c>
    </row>
    <row r="43" spans="1:8" ht="25.5" x14ac:dyDescent="0.2">
      <c r="A43" s="614" t="s">
        <v>29</v>
      </c>
      <c r="B43" s="614" t="s">
        <v>197</v>
      </c>
      <c r="C43" s="618">
        <v>607</v>
      </c>
      <c r="D43" s="17" t="s">
        <v>199</v>
      </c>
      <c r="E43" s="139">
        <v>11868.6630528487</v>
      </c>
      <c r="F43" s="140">
        <v>35851.293713433297</v>
      </c>
      <c r="G43" s="141">
        <v>3.0206682550338599</v>
      </c>
      <c r="H43" s="622">
        <v>13.1082207454839</v>
      </c>
    </row>
    <row r="44" spans="1:8" ht="25.5" x14ac:dyDescent="0.2">
      <c r="A44" s="614" t="s">
        <v>29</v>
      </c>
      <c r="B44" s="17" t="s">
        <v>200</v>
      </c>
      <c r="C44" s="138">
        <v>70</v>
      </c>
      <c r="D44" s="17" t="s">
        <v>199</v>
      </c>
      <c r="E44" s="139">
        <v>700.78899999999999</v>
      </c>
      <c r="F44" s="140">
        <v>1610.7080000000001</v>
      </c>
      <c r="G44" s="141">
        <v>2.2984207800065399</v>
      </c>
      <c r="H44" s="142" t="s">
        <v>60</v>
      </c>
    </row>
    <row r="45" spans="1:8" x14ac:dyDescent="0.2">
      <c r="A45" s="614" t="s">
        <v>30</v>
      </c>
      <c r="B45" s="614" t="s">
        <v>197</v>
      </c>
      <c r="C45" s="618">
        <v>81</v>
      </c>
      <c r="D45" s="17" t="s">
        <v>198</v>
      </c>
      <c r="E45" s="139">
        <v>6389.9249377977203</v>
      </c>
      <c r="F45" s="140">
        <v>14039.7833933864</v>
      </c>
      <c r="G45" s="141">
        <v>2.1971750106700298</v>
      </c>
      <c r="H45" s="622">
        <v>13.202917241127199</v>
      </c>
    </row>
    <row r="46" spans="1:8" ht="25.5" x14ac:dyDescent="0.2">
      <c r="A46" s="614" t="s">
        <v>30</v>
      </c>
      <c r="B46" s="614" t="s">
        <v>197</v>
      </c>
      <c r="C46" s="618">
        <v>81</v>
      </c>
      <c r="D46" s="17" t="s">
        <v>199</v>
      </c>
      <c r="E46" s="139">
        <v>2580.81106220228</v>
      </c>
      <c r="F46" s="140">
        <v>4492.2506066136002</v>
      </c>
      <c r="G46" s="141">
        <v>1.7406352105373599</v>
      </c>
      <c r="H46" s="622">
        <v>13.202917241127199</v>
      </c>
    </row>
    <row r="47" spans="1:8" ht="25.5" x14ac:dyDescent="0.2">
      <c r="A47" s="614" t="s">
        <v>30</v>
      </c>
      <c r="B47" s="17" t="s">
        <v>200</v>
      </c>
      <c r="C47" s="138">
        <v>4</v>
      </c>
      <c r="D47" s="17" t="s">
        <v>199</v>
      </c>
      <c r="E47" s="139">
        <v>352.52</v>
      </c>
      <c r="F47" s="140">
        <v>182.898</v>
      </c>
      <c r="G47" s="141">
        <v>0.51883013729717498</v>
      </c>
      <c r="H47" s="142" t="s">
        <v>60</v>
      </c>
    </row>
    <row r="48" spans="1:8" x14ac:dyDescent="0.2">
      <c r="A48" s="614" t="s">
        <v>211</v>
      </c>
      <c r="B48" s="614" t="s">
        <v>197</v>
      </c>
      <c r="C48" s="618">
        <v>34</v>
      </c>
      <c r="D48" s="17" t="s">
        <v>198</v>
      </c>
      <c r="E48" s="139">
        <v>232.98430816204001</v>
      </c>
      <c r="F48" s="140">
        <v>1648.6010490671199</v>
      </c>
      <c r="G48" s="141">
        <v>7.0760175312773503</v>
      </c>
      <c r="H48" s="622">
        <v>10.6642912944814</v>
      </c>
    </row>
    <row r="49" spans="1:8" ht="25.5" x14ac:dyDescent="0.2">
      <c r="A49" s="614" t="s">
        <v>211</v>
      </c>
      <c r="B49" s="614" t="s">
        <v>197</v>
      </c>
      <c r="C49" s="618">
        <v>34</v>
      </c>
      <c r="D49" s="17" t="s">
        <v>199</v>
      </c>
      <c r="E49" s="139">
        <v>8.9426918379597904</v>
      </c>
      <c r="F49" s="140">
        <v>65.454950932878702</v>
      </c>
      <c r="G49" s="141">
        <v>7.3193790101361502</v>
      </c>
      <c r="H49" s="622">
        <v>10.6642912944814</v>
      </c>
    </row>
    <row r="50" spans="1:8" x14ac:dyDescent="0.2">
      <c r="A50" s="623" t="s">
        <v>113</v>
      </c>
      <c r="B50" s="623"/>
      <c r="C50" s="624"/>
      <c r="D50" s="623"/>
      <c r="E50" s="624"/>
      <c r="F50" s="624"/>
      <c r="G50" s="625"/>
      <c r="H50" s="625"/>
    </row>
    <row r="51" spans="1:8" x14ac:dyDescent="0.2">
      <c r="A51" s="614" t="s">
        <v>29</v>
      </c>
      <c r="B51" s="614" t="s">
        <v>197</v>
      </c>
      <c r="C51" s="618">
        <v>243</v>
      </c>
      <c r="D51" s="17" t="s">
        <v>198</v>
      </c>
      <c r="E51" s="139">
        <v>7045.9666273642097</v>
      </c>
      <c r="F51" s="140">
        <v>27298.798662732799</v>
      </c>
      <c r="G51" s="141">
        <v>3.8743865968245301</v>
      </c>
      <c r="H51" s="622">
        <v>20.6616052152648</v>
      </c>
    </row>
    <row r="52" spans="1:8" ht="25.5" x14ac:dyDescent="0.2">
      <c r="A52" s="614" t="s">
        <v>29</v>
      </c>
      <c r="B52" s="614" t="s">
        <v>197</v>
      </c>
      <c r="C52" s="618">
        <v>243</v>
      </c>
      <c r="D52" s="17" t="s">
        <v>199</v>
      </c>
      <c r="E52" s="139">
        <v>1450.4763726357901</v>
      </c>
      <c r="F52" s="140">
        <v>3743.1959801703501</v>
      </c>
      <c r="G52" s="141">
        <v>2.5806666353125398</v>
      </c>
      <c r="H52" s="622">
        <v>20.6616052152648</v>
      </c>
    </row>
    <row r="53" spans="1:8" ht="25.5" x14ac:dyDescent="0.2">
      <c r="A53" s="614" t="s">
        <v>29</v>
      </c>
      <c r="B53" s="17" t="s">
        <v>200</v>
      </c>
      <c r="C53" s="138">
        <v>39</v>
      </c>
      <c r="D53" s="17" t="s">
        <v>199</v>
      </c>
      <c r="E53" s="139">
        <v>376.46800000000002</v>
      </c>
      <c r="F53" s="140">
        <v>780.04399999999998</v>
      </c>
      <c r="G53" s="141">
        <v>2.0720061200420798</v>
      </c>
      <c r="H53" s="142" t="s">
        <v>60</v>
      </c>
    </row>
    <row r="54" spans="1:8" x14ac:dyDescent="0.2">
      <c r="A54" s="614" t="s">
        <v>211</v>
      </c>
      <c r="B54" s="614" t="s">
        <v>197</v>
      </c>
      <c r="C54" s="618">
        <v>7</v>
      </c>
      <c r="D54" s="17" t="s">
        <v>198</v>
      </c>
      <c r="E54" s="139" t="s">
        <v>74</v>
      </c>
      <c r="F54" s="140" t="s">
        <v>74</v>
      </c>
      <c r="G54" s="141" t="s">
        <v>74</v>
      </c>
      <c r="H54" s="622">
        <v>0.84527747151782395</v>
      </c>
    </row>
    <row r="55" spans="1:8" ht="25.5" x14ac:dyDescent="0.2">
      <c r="A55" s="614" t="s">
        <v>211</v>
      </c>
      <c r="B55" s="614" t="s">
        <v>197</v>
      </c>
      <c r="C55" s="618">
        <v>7</v>
      </c>
      <c r="D55" s="17" t="s">
        <v>199</v>
      </c>
      <c r="E55" s="139" t="s">
        <v>74</v>
      </c>
      <c r="F55" s="140" t="s">
        <v>74</v>
      </c>
      <c r="G55" s="141" t="s">
        <v>74</v>
      </c>
      <c r="H55" s="622">
        <v>0.84527747151782395</v>
      </c>
    </row>
    <row r="56" spans="1:8" x14ac:dyDescent="0.2">
      <c r="A56" s="623" t="s">
        <v>114</v>
      </c>
      <c r="B56" s="623"/>
      <c r="C56" s="624"/>
      <c r="D56" s="623"/>
      <c r="E56" s="624"/>
      <c r="F56" s="624"/>
      <c r="G56" s="625"/>
      <c r="H56" s="625"/>
    </row>
    <row r="57" spans="1:8" x14ac:dyDescent="0.2">
      <c r="A57" s="614" t="s">
        <v>29</v>
      </c>
      <c r="B57" s="614" t="s">
        <v>197</v>
      </c>
      <c r="C57" s="618">
        <v>389</v>
      </c>
      <c r="D57" s="17" t="s">
        <v>198</v>
      </c>
      <c r="E57" s="139">
        <v>6962.4507280279604</v>
      </c>
      <c r="F57" s="140">
        <v>23193.571016328198</v>
      </c>
      <c r="G57" s="141">
        <v>3.3312366467399901</v>
      </c>
      <c r="H57" s="622">
        <v>36.072920611269602</v>
      </c>
    </row>
    <row r="58" spans="1:8" ht="25.5" x14ac:dyDescent="0.2">
      <c r="A58" s="614" t="s">
        <v>29</v>
      </c>
      <c r="B58" s="614" t="s">
        <v>197</v>
      </c>
      <c r="C58" s="618">
        <v>389</v>
      </c>
      <c r="D58" s="17" t="s">
        <v>199</v>
      </c>
      <c r="E58" s="139">
        <v>3053.5447399720401</v>
      </c>
      <c r="F58" s="140">
        <v>8079.5454976717501</v>
      </c>
      <c r="G58" s="141">
        <v>2.6459561544677901</v>
      </c>
      <c r="H58" s="622">
        <v>36.072920611269602</v>
      </c>
    </row>
    <row r="59" spans="1:8" ht="25.5" x14ac:dyDescent="0.2">
      <c r="A59" s="614" t="s">
        <v>29</v>
      </c>
      <c r="B59" s="17" t="s">
        <v>200</v>
      </c>
      <c r="C59" s="138">
        <v>13</v>
      </c>
      <c r="D59" s="17" t="s">
        <v>199</v>
      </c>
      <c r="E59" s="139" t="s">
        <v>74</v>
      </c>
      <c r="F59" s="140" t="s">
        <v>74</v>
      </c>
      <c r="G59" s="141" t="s">
        <v>74</v>
      </c>
      <c r="H59" s="142" t="s">
        <v>60</v>
      </c>
    </row>
    <row r="60" spans="1:8" x14ac:dyDescent="0.2">
      <c r="A60" s="614" t="s">
        <v>30</v>
      </c>
      <c r="B60" s="614" t="s">
        <v>197</v>
      </c>
      <c r="C60" s="618">
        <v>219</v>
      </c>
      <c r="D60" s="17" t="s">
        <v>198</v>
      </c>
      <c r="E60" s="139">
        <v>4507.4214179087403</v>
      </c>
      <c r="F60" s="140">
        <v>7618.4015596784302</v>
      </c>
      <c r="G60" s="141">
        <v>1.69019065521791</v>
      </c>
      <c r="H60" s="622">
        <v>22.075003275276099</v>
      </c>
    </row>
    <row r="61" spans="1:8" ht="25.5" x14ac:dyDescent="0.2">
      <c r="A61" s="614" t="s">
        <v>30</v>
      </c>
      <c r="B61" s="614" t="s">
        <v>197</v>
      </c>
      <c r="C61" s="618">
        <v>218</v>
      </c>
      <c r="D61" s="17" t="s">
        <v>199</v>
      </c>
      <c r="E61" s="139">
        <v>973.03258209126102</v>
      </c>
      <c r="F61" s="140">
        <v>1107.42844032157</v>
      </c>
      <c r="G61" s="141">
        <v>1.1381206145650999</v>
      </c>
      <c r="H61" s="622">
        <v>22.075003275276099</v>
      </c>
    </row>
    <row r="62" spans="1:8" ht="25.5" x14ac:dyDescent="0.2">
      <c r="A62" s="614" t="s">
        <v>30</v>
      </c>
      <c r="B62" s="17" t="s">
        <v>200</v>
      </c>
      <c r="C62" s="138">
        <v>8</v>
      </c>
      <c r="D62" s="17" t="s">
        <v>199</v>
      </c>
      <c r="E62" s="139" t="s">
        <v>74</v>
      </c>
      <c r="F62" s="140" t="s">
        <v>74</v>
      </c>
      <c r="G62" s="141" t="s">
        <v>74</v>
      </c>
      <c r="H62" s="142" t="s">
        <v>60</v>
      </c>
    </row>
    <row r="63" spans="1:8" x14ac:dyDescent="0.2">
      <c r="A63" s="614" t="s">
        <v>211</v>
      </c>
      <c r="B63" s="614" t="s">
        <v>197</v>
      </c>
      <c r="C63" s="618">
        <v>52</v>
      </c>
      <c r="D63" s="17" t="s">
        <v>198</v>
      </c>
      <c r="E63" s="139">
        <v>49.305880850894503</v>
      </c>
      <c r="F63" s="140">
        <v>409.21896514602201</v>
      </c>
      <c r="G63" s="141">
        <v>8.2995974939285198</v>
      </c>
      <c r="H63" s="622">
        <v>3.0755163297354202</v>
      </c>
    </row>
    <row r="64" spans="1:8" ht="25.5" x14ac:dyDescent="0.2">
      <c r="A64" s="614" t="s">
        <v>211</v>
      </c>
      <c r="B64" s="614" t="s">
        <v>197</v>
      </c>
      <c r="C64" s="618">
        <v>52</v>
      </c>
      <c r="D64" s="17" t="s">
        <v>199</v>
      </c>
      <c r="E64" s="139">
        <v>1.00111914910554</v>
      </c>
      <c r="F64" s="140">
        <v>12.210034853978099</v>
      </c>
      <c r="G64" s="141">
        <v>12.196385280300801</v>
      </c>
      <c r="H64" s="622">
        <v>3.0755163297354202</v>
      </c>
    </row>
    <row r="65" spans="1:8" x14ac:dyDescent="0.2">
      <c r="A65" s="608" t="s">
        <v>212</v>
      </c>
      <c r="B65" s="609"/>
      <c r="C65" s="609"/>
      <c r="D65" s="609"/>
      <c r="E65" s="609"/>
      <c r="F65" s="609"/>
      <c r="G65" s="609"/>
      <c r="H65" s="609"/>
    </row>
    <row r="66" spans="1:8" ht="30" customHeight="1" x14ac:dyDescent="0.2">
      <c r="A66" s="608" t="s">
        <v>213</v>
      </c>
      <c r="B66" s="609"/>
      <c r="C66" s="609"/>
      <c r="D66" s="609"/>
      <c r="E66" s="609"/>
      <c r="F66" s="609"/>
      <c r="G66" s="609"/>
      <c r="H66" s="609"/>
    </row>
    <row r="67" spans="1:8" x14ac:dyDescent="0.2">
      <c r="A67" s="608" t="s">
        <v>45</v>
      </c>
      <c r="B67" s="609"/>
      <c r="C67" s="609"/>
      <c r="D67" s="609"/>
      <c r="E67" s="609"/>
      <c r="F67" s="609"/>
      <c r="G67" s="609"/>
      <c r="H67" s="609"/>
    </row>
    <row r="68" spans="1:8" ht="37.5" customHeight="1" x14ac:dyDescent="0.2">
      <c r="A68" s="608" t="s">
        <v>214</v>
      </c>
      <c r="B68" s="609"/>
      <c r="C68" s="609"/>
      <c r="D68" s="609"/>
      <c r="E68" s="609"/>
      <c r="F68" s="609"/>
      <c r="G68" s="609"/>
      <c r="H68" s="609"/>
    </row>
    <row r="69" spans="1:8" x14ac:dyDescent="0.2">
      <c r="A69" s="610" t="s">
        <v>209</v>
      </c>
      <c r="B69" s="609"/>
      <c r="C69" s="609"/>
      <c r="D69" s="609"/>
      <c r="E69" s="609"/>
      <c r="F69" s="609"/>
      <c r="G69" s="609"/>
      <c r="H69" s="609"/>
    </row>
  </sheetData>
  <mergeCells count="95">
    <mergeCell ref="J1:L2"/>
    <mergeCell ref="A1:H1"/>
    <mergeCell ref="A4:B4"/>
    <mergeCell ref="A65:H65"/>
    <mergeCell ref="A66:H66"/>
    <mergeCell ref="A24:A26"/>
    <mergeCell ref="A27:A29"/>
    <mergeCell ref="A30:A31"/>
    <mergeCell ref="A33:A35"/>
    <mergeCell ref="A36:A38"/>
    <mergeCell ref="A39:A40"/>
    <mergeCell ref="A42:A44"/>
    <mergeCell ref="A45:A47"/>
    <mergeCell ref="A48:A49"/>
    <mergeCell ref="A51:A53"/>
    <mergeCell ref="A54:A55"/>
    <mergeCell ref="A67:H67"/>
    <mergeCell ref="A68:H68"/>
    <mergeCell ref="A69:H69"/>
    <mergeCell ref="A5:H5"/>
    <mergeCell ref="A14:H14"/>
    <mergeCell ref="A23:H23"/>
    <mergeCell ref="A32:H32"/>
    <mergeCell ref="A41:H41"/>
    <mergeCell ref="A50:H50"/>
    <mergeCell ref="A56:H56"/>
    <mergeCell ref="A6:A8"/>
    <mergeCell ref="A9:A11"/>
    <mergeCell ref="A12:A13"/>
    <mergeCell ref="A15:A17"/>
    <mergeCell ref="A18:A20"/>
    <mergeCell ref="A21:A22"/>
    <mergeCell ref="A57:A59"/>
    <mergeCell ref="A60:A62"/>
    <mergeCell ref="A63:A64"/>
    <mergeCell ref="C6:C7"/>
    <mergeCell ref="C9:C10"/>
    <mergeCell ref="C12:C13"/>
    <mergeCell ref="C15:C16"/>
    <mergeCell ref="C18:C19"/>
    <mergeCell ref="C21:C22"/>
    <mergeCell ref="C24:C25"/>
    <mergeCell ref="C27:C28"/>
    <mergeCell ref="C30:C31"/>
    <mergeCell ref="C33:C34"/>
    <mergeCell ref="C36:C37"/>
    <mergeCell ref="C39:C40"/>
    <mergeCell ref="C42:C43"/>
    <mergeCell ref="C45:C46"/>
    <mergeCell ref="C48:C49"/>
    <mergeCell ref="C51:C52"/>
    <mergeCell ref="C54:C55"/>
    <mergeCell ref="C57:C58"/>
    <mergeCell ref="C60:C61"/>
    <mergeCell ref="C63:C64"/>
    <mergeCell ref="B6:B7"/>
    <mergeCell ref="B9:B10"/>
    <mergeCell ref="B12:B13"/>
    <mergeCell ref="B15:B16"/>
    <mergeCell ref="B18:B19"/>
    <mergeCell ref="B21:B22"/>
    <mergeCell ref="B24:B25"/>
    <mergeCell ref="B27:B28"/>
    <mergeCell ref="B30:B31"/>
    <mergeCell ref="B33:B34"/>
    <mergeCell ref="B36:B37"/>
    <mergeCell ref="B39:B40"/>
    <mergeCell ref="B42:B43"/>
    <mergeCell ref="B45:B46"/>
    <mergeCell ref="B48:B49"/>
    <mergeCell ref="B51:B52"/>
    <mergeCell ref="B54:B55"/>
    <mergeCell ref="B57:B58"/>
    <mergeCell ref="B60:B61"/>
    <mergeCell ref="B63:B64"/>
    <mergeCell ref="H6:H7"/>
    <mergeCell ref="H9:H10"/>
    <mergeCell ref="H12:H13"/>
    <mergeCell ref="H15:H16"/>
    <mergeCell ref="H18:H19"/>
    <mergeCell ref="H21:H22"/>
    <mergeCell ref="H24:H25"/>
    <mergeCell ref="H27:H28"/>
    <mergeCell ref="H30:H31"/>
    <mergeCell ref="H33:H34"/>
    <mergeCell ref="H36:H37"/>
    <mergeCell ref="H39:H40"/>
    <mergeCell ref="H42:H43"/>
    <mergeCell ref="H45:H46"/>
    <mergeCell ref="H48:H49"/>
    <mergeCell ref="H51:H52"/>
    <mergeCell ref="H54:H55"/>
    <mergeCell ref="H57:H58"/>
    <mergeCell ref="H60:H61"/>
    <mergeCell ref="H63:H64"/>
  </mergeCells>
  <pageMargins left="0.6" right="0.79" top="0.79" bottom="1.06" header="0.3" footer="0.3"/>
  <pageSetup paperSize="9" fitToWidth="0" fitToHeight="0"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election activeCell="J1" sqref="J1:L2"/>
    </sheetView>
  </sheetViews>
  <sheetFormatPr baseColWidth="10" defaultColWidth="9.140625" defaultRowHeight="12.75" x14ac:dyDescent="0.2"/>
  <cols>
    <col min="1" max="1" width="11.7109375" customWidth="1"/>
    <col min="2" max="2" width="15.7109375" customWidth="1"/>
    <col min="3" max="3" width="12.140625" customWidth="1"/>
    <col min="4" max="4" width="13.7109375" customWidth="1"/>
    <col min="5" max="5" width="8.7109375" customWidth="1"/>
    <col min="6" max="6" width="9.140625" customWidth="1"/>
    <col min="7" max="7" width="8.140625" customWidth="1"/>
    <col min="8" max="8" width="8.7109375" customWidth="1"/>
  </cols>
  <sheetData>
    <row r="1" spans="1:12" ht="39" customHeight="1" x14ac:dyDescent="0.2">
      <c r="A1" s="612" t="s">
        <v>215</v>
      </c>
      <c r="B1" s="609"/>
      <c r="C1" s="609"/>
      <c r="D1" s="609"/>
      <c r="E1" s="609"/>
      <c r="F1" s="609"/>
      <c r="G1" s="609"/>
      <c r="H1" s="609"/>
      <c r="J1" s="611" t="str">
        <f>HYPERLINK("#'sommaire'!A1", "Retour sommaire")</f>
        <v>Retour sommaire</v>
      </c>
      <c r="K1" s="609"/>
      <c r="L1" s="609"/>
    </row>
    <row r="2" spans="1:12" x14ac:dyDescent="0.2">
      <c r="J2" s="609"/>
      <c r="K2" s="609"/>
      <c r="L2" s="609"/>
    </row>
    <row r="3" spans="1:12" ht="38.25" x14ac:dyDescent="0.2">
      <c r="A3" s="4" t="s">
        <v>19</v>
      </c>
      <c r="B3" s="4" t="s">
        <v>216</v>
      </c>
      <c r="C3" s="4" t="s">
        <v>193</v>
      </c>
      <c r="D3" s="4" t="s">
        <v>194</v>
      </c>
      <c r="E3" s="4" t="s">
        <v>21</v>
      </c>
      <c r="F3" s="4" t="s">
        <v>22</v>
      </c>
      <c r="G3" s="4" t="s">
        <v>23</v>
      </c>
      <c r="H3" s="4" t="s">
        <v>195</v>
      </c>
    </row>
    <row r="4" spans="1:12" ht="25.5" x14ac:dyDescent="0.2">
      <c r="A4" s="613"/>
      <c r="B4" s="613"/>
      <c r="C4" s="5" t="s">
        <v>24</v>
      </c>
      <c r="D4" s="5"/>
      <c r="E4" s="5" t="s">
        <v>25</v>
      </c>
      <c r="F4" s="5" t="s">
        <v>26</v>
      </c>
      <c r="G4" s="5" t="s">
        <v>27</v>
      </c>
      <c r="H4" s="5" t="s">
        <v>52</v>
      </c>
    </row>
    <row r="5" spans="1:12" ht="27.75" customHeight="1" x14ac:dyDescent="0.2">
      <c r="A5" s="614" t="s">
        <v>196</v>
      </c>
      <c r="B5" s="614" t="s">
        <v>217</v>
      </c>
      <c r="C5" s="618">
        <v>1440</v>
      </c>
      <c r="D5" s="17" t="s">
        <v>218</v>
      </c>
      <c r="E5" s="144">
        <v>63150.526246083602</v>
      </c>
      <c r="F5" s="145">
        <v>250964.01912713799</v>
      </c>
      <c r="G5" s="146">
        <v>3.9740606143041002</v>
      </c>
      <c r="H5" s="147">
        <v>18.3351221880481</v>
      </c>
    </row>
    <row r="6" spans="1:12" ht="27.75" customHeight="1" x14ac:dyDescent="0.2">
      <c r="A6" s="614" t="s">
        <v>196</v>
      </c>
      <c r="B6" s="614" t="s">
        <v>217</v>
      </c>
      <c r="C6" s="618">
        <v>1440</v>
      </c>
      <c r="D6" s="17" t="s">
        <v>219</v>
      </c>
      <c r="E6" s="144">
        <v>30889.721753916401</v>
      </c>
      <c r="F6" s="145">
        <v>91684.285472861899</v>
      </c>
      <c r="G6" s="146">
        <v>2.9681162622074302</v>
      </c>
      <c r="H6" s="147">
        <v>0</v>
      </c>
    </row>
    <row r="7" spans="1:12" ht="21" customHeight="1" x14ac:dyDescent="0.2">
      <c r="A7" s="614" t="s">
        <v>196</v>
      </c>
      <c r="B7" s="614" t="s">
        <v>220</v>
      </c>
      <c r="C7" s="618">
        <v>105</v>
      </c>
      <c r="D7" s="17" t="s">
        <v>218</v>
      </c>
      <c r="E7" s="144">
        <v>2078.2799837146599</v>
      </c>
      <c r="F7" s="145">
        <v>9398.9626064087206</v>
      </c>
      <c r="G7" s="146">
        <v>4.52247179401175</v>
      </c>
      <c r="H7" s="147">
        <v>24.683883054429</v>
      </c>
    </row>
    <row r="8" spans="1:12" ht="21" customHeight="1" x14ac:dyDescent="0.2">
      <c r="A8" s="614" t="s">
        <v>196</v>
      </c>
      <c r="B8" s="614" t="s">
        <v>220</v>
      </c>
      <c r="C8" s="618">
        <v>104</v>
      </c>
      <c r="D8" s="17" t="s">
        <v>219</v>
      </c>
      <c r="E8" s="144">
        <v>1138.15801628534</v>
      </c>
      <c r="F8" s="145">
        <v>3893.4750981513698</v>
      </c>
      <c r="G8" s="146">
        <v>3.4208563683087498</v>
      </c>
      <c r="H8" s="147">
        <v>0</v>
      </c>
    </row>
    <row r="9" spans="1:12" ht="53.25" customHeight="1" x14ac:dyDescent="0.2">
      <c r="A9" s="614" t="s">
        <v>196</v>
      </c>
      <c r="B9" s="614" t="s">
        <v>221</v>
      </c>
      <c r="C9" s="618">
        <v>73</v>
      </c>
      <c r="D9" s="17" t="s">
        <v>218</v>
      </c>
      <c r="E9" s="144">
        <v>3661.9854651176802</v>
      </c>
      <c r="F9" s="145">
        <v>15219.863961823799</v>
      </c>
      <c r="G9" s="146">
        <v>4.1561781461999097</v>
      </c>
      <c r="H9" s="147">
        <v>12.8280539017038</v>
      </c>
    </row>
    <row r="10" spans="1:12" ht="53.25" customHeight="1" x14ac:dyDescent="0.2">
      <c r="A10" s="614" t="s">
        <v>196</v>
      </c>
      <c r="B10" s="614" t="s">
        <v>221</v>
      </c>
      <c r="C10" s="618">
        <v>73</v>
      </c>
      <c r="D10" s="17" t="s">
        <v>219</v>
      </c>
      <c r="E10" s="144">
        <v>1932.5285348823199</v>
      </c>
      <c r="F10" s="145">
        <v>5041.7549765192598</v>
      </c>
      <c r="G10" s="146">
        <v>2.6088903141739501</v>
      </c>
      <c r="H10" s="147">
        <v>0</v>
      </c>
    </row>
    <row r="11" spans="1:12" x14ac:dyDescent="0.2">
      <c r="A11" s="614" t="s">
        <v>196</v>
      </c>
      <c r="B11" s="614" t="s">
        <v>222</v>
      </c>
      <c r="C11" s="618">
        <v>191</v>
      </c>
      <c r="D11" s="17" t="s">
        <v>218</v>
      </c>
      <c r="E11" s="144">
        <v>13914.510364918</v>
      </c>
      <c r="F11" s="145">
        <v>66014.934247040306</v>
      </c>
      <c r="G11" s="146">
        <v>4.7443231932530301</v>
      </c>
      <c r="H11" s="147">
        <v>10.3629692203959</v>
      </c>
    </row>
    <row r="12" spans="1:12" x14ac:dyDescent="0.2">
      <c r="A12" s="614" t="s">
        <v>196</v>
      </c>
      <c r="B12" s="614" t="s">
        <v>222</v>
      </c>
      <c r="C12" s="618">
        <v>191</v>
      </c>
      <c r="D12" s="17" t="s">
        <v>219</v>
      </c>
      <c r="E12" s="144">
        <v>3619.2326350819599</v>
      </c>
      <c r="F12" s="145">
        <v>12166.741752959701</v>
      </c>
      <c r="G12" s="146">
        <v>3.3616909935617199</v>
      </c>
      <c r="H12" s="147">
        <v>0</v>
      </c>
    </row>
    <row r="13" spans="1:12" x14ac:dyDescent="0.2">
      <c r="A13" s="614" t="s">
        <v>196</v>
      </c>
      <c r="B13" s="614" t="s">
        <v>223</v>
      </c>
      <c r="C13" s="618">
        <v>391</v>
      </c>
      <c r="D13" s="17" t="s">
        <v>218</v>
      </c>
      <c r="E13" s="144">
        <v>8445.3979755751607</v>
      </c>
      <c r="F13" s="145">
        <v>30084.713300648498</v>
      </c>
      <c r="G13" s="146">
        <v>3.56226117320417</v>
      </c>
      <c r="H13" s="147">
        <v>31.2063714748523</v>
      </c>
    </row>
    <row r="14" spans="1:12" x14ac:dyDescent="0.2">
      <c r="A14" s="614" t="s">
        <v>196</v>
      </c>
      <c r="B14" s="614" t="s">
        <v>223</v>
      </c>
      <c r="C14" s="618">
        <v>391</v>
      </c>
      <c r="D14" s="17" t="s">
        <v>219</v>
      </c>
      <c r="E14" s="144">
        <v>3832.85770842484</v>
      </c>
      <c r="F14" s="145">
        <v>10525.8712563515</v>
      </c>
      <c r="G14" s="146">
        <v>2.74622019836923</v>
      </c>
      <c r="H14" s="147">
        <v>0</v>
      </c>
    </row>
    <row r="15" spans="1:12" x14ac:dyDescent="0.2">
      <c r="A15" s="614" t="s">
        <v>196</v>
      </c>
      <c r="B15" s="614" t="s">
        <v>224</v>
      </c>
      <c r="C15" s="618">
        <v>23</v>
      </c>
      <c r="D15" s="17" t="s">
        <v>218</v>
      </c>
      <c r="E15" s="144">
        <v>303.81947485058902</v>
      </c>
      <c r="F15" s="145">
        <v>1384.5406259562401</v>
      </c>
      <c r="G15" s="146">
        <v>4.5571161185013702</v>
      </c>
      <c r="H15" s="147">
        <v>27.883365919592599</v>
      </c>
    </row>
    <row r="16" spans="1:12" x14ac:dyDescent="0.2">
      <c r="A16" s="614" t="s">
        <v>196</v>
      </c>
      <c r="B16" s="614" t="s">
        <v>224</v>
      </c>
      <c r="C16" s="618">
        <v>23</v>
      </c>
      <c r="D16" s="17" t="s">
        <v>219</v>
      </c>
      <c r="E16" s="144">
        <v>110.347309149412</v>
      </c>
      <c r="F16" s="145">
        <v>418.16533104376202</v>
      </c>
      <c r="G16" s="146">
        <v>3.7895380890308901</v>
      </c>
      <c r="H16" s="147">
        <v>0</v>
      </c>
    </row>
    <row r="17" spans="1:8" x14ac:dyDescent="0.2">
      <c r="A17" s="614" t="s">
        <v>196</v>
      </c>
      <c r="B17" s="614" t="s">
        <v>225</v>
      </c>
      <c r="C17" s="618">
        <v>22</v>
      </c>
      <c r="D17" s="17" t="s">
        <v>218</v>
      </c>
      <c r="E17" s="144">
        <v>670.72624047684701</v>
      </c>
      <c r="F17" s="145">
        <v>1198.3933192945599</v>
      </c>
      <c r="G17" s="146">
        <v>1.78671005691171</v>
      </c>
      <c r="H17" s="147">
        <v>16.629553908620998</v>
      </c>
    </row>
    <row r="18" spans="1:8" x14ac:dyDescent="0.2">
      <c r="A18" s="614" t="s">
        <v>196</v>
      </c>
      <c r="B18" s="614" t="s">
        <v>225</v>
      </c>
      <c r="C18" s="618">
        <v>22</v>
      </c>
      <c r="D18" s="17" t="s">
        <v>219</v>
      </c>
      <c r="E18" s="144">
        <v>203.03575952315299</v>
      </c>
      <c r="F18" s="145">
        <v>340.077680705435</v>
      </c>
      <c r="G18" s="146">
        <v>1.67496445702046</v>
      </c>
      <c r="H18" s="147">
        <v>0</v>
      </c>
    </row>
    <row r="19" spans="1:8" ht="76.5" x14ac:dyDescent="0.2">
      <c r="A19" s="614" t="s">
        <v>201</v>
      </c>
      <c r="B19" s="17" t="s">
        <v>221</v>
      </c>
      <c r="C19" s="143">
        <v>21</v>
      </c>
      <c r="D19" s="17" t="s">
        <v>218</v>
      </c>
      <c r="E19" s="144">
        <v>333.25535247485101</v>
      </c>
      <c r="F19" s="145">
        <v>2398.7756760258299</v>
      </c>
      <c r="G19" s="146">
        <v>7.1980109492970703</v>
      </c>
      <c r="H19" s="147">
        <v>76.495909867536199</v>
      </c>
    </row>
    <row r="20" spans="1:8" ht="51" x14ac:dyDescent="0.2">
      <c r="A20" s="614" t="s">
        <v>201</v>
      </c>
      <c r="B20" s="17" t="s">
        <v>217</v>
      </c>
      <c r="C20" s="143">
        <v>48</v>
      </c>
      <c r="D20" s="17" t="s">
        <v>218</v>
      </c>
      <c r="E20" s="144">
        <v>275.22848045964997</v>
      </c>
      <c r="F20" s="145">
        <v>2205.5836132208901</v>
      </c>
      <c r="G20" s="146">
        <v>8.0136460061742696</v>
      </c>
      <c r="H20" s="147">
        <v>9.7009072488802506</v>
      </c>
    </row>
    <row r="21" spans="1:8" ht="38.25" x14ac:dyDescent="0.2">
      <c r="A21" s="614" t="s">
        <v>201</v>
      </c>
      <c r="B21" s="17" t="s">
        <v>220</v>
      </c>
      <c r="C21" s="143">
        <v>23</v>
      </c>
      <c r="D21" s="17" t="s">
        <v>218</v>
      </c>
      <c r="E21" s="144">
        <v>51.4779913731455</v>
      </c>
      <c r="F21" s="145">
        <v>439.00803280966602</v>
      </c>
      <c r="G21" s="146">
        <v>8.5280723101151104</v>
      </c>
      <c r="H21" s="147">
        <v>20.680009708895099</v>
      </c>
    </row>
    <row r="22" spans="1:8" ht="25.5" x14ac:dyDescent="0.2">
      <c r="A22" s="614" t="s">
        <v>201</v>
      </c>
      <c r="B22" s="17" t="s">
        <v>222</v>
      </c>
      <c r="C22" s="143">
        <v>4</v>
      </c>
      <c r="D22" s="17" t="s">
        <v>218</v>
      </c>
      <c r="E22" s="144">
        <v>1.72827558443885</v>
      </c>
      <c r="F22" s="145">
        <v>16.5725250537511</v>
      </c>
      <c r="G22" s="146">
        <v>9.5890523496181501</v>
      </c>
      <c r="H22" s="147">
        <v>7.0883086647156004</v>
      </c>
    </row>
    <row r="23" spans="1:8" ht="51" x14ac:dyDescent="0.2">
      <c r="A23" s="614" t="s">
        <v>201</v>
      </c>
      <c r="B23" s="17" t="s">
        <v>226</v>
      </c>
      <c r="C23" s="143">
        <v>47</v>
      </c>
      <c r="D23" s="17" t="s">
        <v>218</v>
      </c>
      <c r="E23" s="144">
        <v>59.701919703584601</v>
      </c>
      <c r="F23" s="145">
        <v>705.431255417893</v>
      </c>
      <c r="G23" s="146">
        <v>11.81588898515</v>
      </c>
      <c r="H23" s="147">
        <v>61.756451439171897</v>
      </c>
    </row>
    <row r="24" spans="1:8" ht="25.5" x14ac:dyDescent="0.2">
      <c r="A24" s="614" t="s">
        <v>201</v>
      </c>
      <c r="B24" s="17" t="s">
        <v>227</v>
      </c>
      <c r="C24" s="143">
        <v>141</v>
      </c>
      <c r="D24" s="17" t="s">
        <v>219</v>
      </c>
      <c r="E24" s="144">
        <v>500.74598040432898</v>
      </c>
      <c r="F24" s="145">
        <v>2760.5588974719699</v>
      </c>
      <c r="G24" s="146">
        <v>5.5128927749813199</v>
      </c>
      <c r="H24" s="147">
        <v>0</v>
      </c>
    </row>
    <row r="25" spans="1:8" x14ac:dyDescent="0.2">
      <c r="A25" s="614" t="s">
        <v>202</v>
      </c>
      <c r="B25" s="614" t="s">
        <v>228</v>
      </c>
      <c r="C25" s="618">
        <v>354</v>
      </c>
      <c r="D25" s="17" t="s">
        <v>218</v>
      </c>
      <c r="E25" s="144">
        <v>37554.111064140197</v>
      </c>
      <c r="F25" s="145">
        <v>79223.123073200506</v>
      </c>
      <c r="G25" s="146">
        <v>2.1095725828230099</v>
      </c>
      <c r="H25" s="147">
        <v>12.1473934140636</v>
      </c>
    </row>
    <row r="26" spans="1:8" x14ac:dyDescent="0.2">
      <c r="A26" s="614" t="s">
        <v>202</v>
      </c>
      <c r="B26" s="614" t="s">
        <v>228</v>
      </c>
      <c r="C26" s="618">
        <v>350</v>
      </c>
      <c r="D26" s="17" t="s">
        <v>219</v>
      </c>
      <c r="E26" s="144">
        <v>6849.3769358598402</v>
      </c>
      <c r="F26" s="145">
        <v>12141.8069267995</v>
      </c>
      <c r="G26" s="146">
        <v>1.7726877992699199</v>
      </c>
      <c r="H26" s="147">
        <v>0</v>
      </c>
    </row>
    <row r="27" spans="1:8" x14ac:dyDescent="0.2">
      <c r="A27" s="614" t="s">
        <v>202</v>
      </c>
      <c r="B27" s="614" t="s">
        <v>224</v>
      </c>
      <c r="C27" s="618">
        <v>68</v>
      </c>
      <c r="D27" s="17" t="s">
        <v>218</v>
      </c>
      <c r="E27" s="144">
        <v>3851.6701532617199</v>
      </c>
      <c r="F27" s="145">
        <v>7914.5220824421604</v>
      </c>
      <c r="G27" s="146">
        <v>2.0548286243410199</v>
      </c>
      <c r="H27" s="147">
        <v>11.624043660613699</v>
      </c>
    </row>
    <row r="28" spans="1:8" x14ac:dyDescent="0.2">
      <c r="A28" s="614" t="s">
        <v>202</v>
      </c>
      <c r="B28" s="614" t="s">
        <v>224</v>
      </c>
      <c r="C28" s="618">
        <v>67</v>
      </c>
      <c r="D28" s="17" t="s">
        <v>219</v>
      </c>
      <c r="E28" s="144">
        <v>1264.41184673828</v>
      </c>
      <c r="F28" s="145">
        <v>2123.5189175578398</v>
      </c>
      <c r="G28" s="146">
        <v>1.67945193097941</v>
      </c>
      <c r="H28" s="147">
        <v>0</v>
      </c>
    </row>
    <row r="29" spans="1:8" ht="23.25" customHeight="1" x14ac:dyDescent="0.2">
      <c r="A29" s="614" t="s">
        <v>202</v>
      </c>
      <c r="B29" s="614" t="s">
        <v>229</v>
      </c>
      <c r="C29" s="618">
        <v>27</v>
      </c>
      <c r="D29" s="17" t="s">
        <v>218</v>
      </c>
      <c r="E29" s="144">
        <v>1520.10431178362</v>
      </c>
      <c r="F29" s="145">
        <v>3084.55907887798</v>
      </c>
      <c r="G29" s="146">
        <v>2.0291759288931299</v>
      </c>
      <c r="H29" s="147">
        <v>9.32361608836068</v>
      </c>
    </row>
    <row r="30" spans="1:8" ht="23.25" customHeight="1" x14ac:dyDescent="0.2">
      <c r="A30" s="614" t="s">
        <v>202</v>
      </c>
      <c r="B30" s="614" t="s">
        <v>229</v>
      </c>
      <c r="C30" s="618">
        <v>27</v>
      </c>
      <c r="D30" s="17" t="s">
        <v>219</v>
      </c>
      <c r="E30" s="144">
        <v>242.78168821638499</v>
      </c>
      <c r="F30" s="145">
        <v>437.27692112202499</v>
      </c>
      <c r="G30" s="146">
        <v>1.80111162556993</v>
      </c>
      <c r="H30" s="147">
        <v>0</v>
      </c>
    </row>
    <row r="31" spans="1:8" ht="27" customHeight="1" x14ac:dyDescent="0.2">
      <c r="A31" s="614" t="s">
        <v>202</v>
      </c>
      <c r="B31" s="614" t="s">
        <v>225</v>
      </c>
      <c r="C31" s="618">
        <v>30</v>
      </c>
      <c r="D31" s="17" t="s">
        <v>218</v>
      </c>
      <c r="E31" s="144">
        <v>1201.05859104346</v>
      </c>
      <c r="F31" s="145">
        <v>2701.0930653530399</v>
      </c>
      <c r="G31" s="146">
        <v>2.2489269761655599</v>
      </c>
      <c r="H31" s="147">
        <v>6.65666505631234</v>
      </c>
    </row>
    <row r="32" spans="1:8" ht="27" customHeight="1" x14ac:dyDescent="0.2">
      <c r="A32" s="614" t="s">
        <v>202</v>
      </c>
      <c r="B32" s="614" t="s">
        <v>225</v>
      </c>
      <c r="C32" s="618">
        <v>28</v>
      </c>
      <c r="D32" s="17" t="s">
        <v>219</v>
      </c>
      <c r="E32" s="144">
        <v>331.92540895654002</v>
      </c>
      <c r="F32" s="145">
        <v>552.37693464696201</v>
      </c>
      <c r="G32" s="146">
        <v>1.6641598375473701</v>
      </c>
      <c r="H32" s="147">
        <v>0</v>
      </c>
    </row>
    <row r="33" spans="1:8" x14ac:dyDescent="0.2">
      <c r="A33" s="614" t="s">
        <v>202</v>
      </c>
      <c r="B33" s="614" t="s">
        <v>223</v>
      </c>
      <c r="C33" s="618">
        <v>20</v>
      </c>
      <c r="D33" s="17" t="s">
        <v>218</v>
      </c>
      <c r="E33" s="144">
        <v>65.298702184203705</v>
      </c>
      <c r="F33" s="145">
        <v>217.71712549214101</v>
      </c>
      <c r="G33" s="146">
        <v>3.33417232210794</v>
      </c>
      <c r="H33" s="147">
        <v>22.6464658665695</v>
      </c>
    </row>
    <row r="34" spans="1:8" x14ac:dyDescent="0.2">
      <c r="A34" s="614" t="s">
        <v>202</v>
      </c>
      <c r="B34" s="614" t="s">
        <v>223</v>
      </c>
      <c r="C34" s="618">
        <v>20</v>
      </c>
      <c r="D34" s="17" t="s">
        <v>219</v>
      </c>
      <c r="E34" s="144">
        <v>28.684297815796299</v>
      </c>
      <c r="F34" s="145">
        <v>50.039774507858702</v>
      </c>
      <c r="G34" s="146">
        <v>1.7445005915502001</v>
      </c>
      <c r="H34" s="147">
        <v>0</v>
      </c>
    </row>
    <row r="35" spans="1:8" x14ac:dyDescent="0.2">
      <c r="A35" s="614" t="s">
        <v>203</v>
      </c>
      <c r="B35" s="614" t="s">
        <v>230</v>
      </c>
      <c r="C35" s="618">
        <v>46</v>
      </c>
      <c r="D35" s="17" t="s">
        <v>218</v>
      </c>
      <c r="E35" s="144">
        <v>2936.8192621173298</v>
      </c>
      <c r="F35" s="145">
        <v>5106.8704660291496</v>
      </c>
      <c r="G35" s="146">
        <v>1.7389120712683199</v>
      </c>
      <c r="H35" s="147">
        <v>16.637256904667201</v>
      </c>
    </row>
    <row r="36" spans="1:8" ht="85.5" customHeight="1" x14ac:dyDescent="0.2">
      <c r="A36" s="614" t="s">
        <v>203</v>
      </c>
      <c r="B36" s="614" t="s">
        <v>230</v>
      </c>
      <c r="C36" s="618">
        <v>45</v>
      </c>
      <c r="D36" s="17" t="s">
        <v>219</v>
      </c>
      <c r="E36" s="144">
        <v>442.44273788267498</v>
      </c>
      <c r="F36" s="145">
        <v>543.34653397085003</v>
      </c>
      <c r="G36" s="146">
        <v>1.2280606900026301</v>
      </c>
      <c r="H36" s="147">
        <v>0</v>
      </c>
    </row>
    <row r="37" spans="1:8" x14ac:dyDescent="0.2">
      <c r="A37" s="614" t="s">
        <v>203</v>
      </c>
      <c r="B37" s="614" t="s">
        <v>223</v>
      </c>
      <c r="C37" s="618">
        <v>169</v>
      </c>
      <c r="D37" s="17" t="s">
        <v>218</v>
      </c>
      <c r="E37" s="144">
        <v>1714.7955357014901</v>
      </c>
      <c r="F37" s="145">
        <v>2813.9663513719102</v>
      </c>
      <c r="G37" s="146">
        <v>1.6409923473592301</v>
      </c>
      <c r="H37" s="147">
        <v>28.616986538941202</v>
      </c>
    </row>
    <row r="38" spans="1:8" x14ac:dyDescent="0.2">
      <c r="A38" s="614" t="s">
        <v>203</v>
      </c>
      <c r="B38" s="614" t="s">
        <v>223</v>
      </c>
      <c r="C38" s="618">
        <v>169</v>
      </c>
      <c r="D38" s="17" t="s">
        <v>219</v>
      </c>
      <c r="E38" s="144">
        <v>531.29046429850996</v>
      </c>
      <c r="F38" s="145">
        <v>578.17564862808797</v>
      </c>
      <c r="G38" s="146">
        <v>1.08824774295824</v>
      </c>
      <c r="H38" s="147">
        <v>0</v>
      </c>
    </row>
    <row r="39" spans="1:8" x14ac:dyDescent="0.2">
      <c r="A39" s="614" t="s">
        <v>205</v>
      </c>
      <c r="B39" s="614" t="s">
        <v>227</v>
      </c>
      <c r="C39" s="618">
        <v>168</v>
      </c>
      <c r="D39" s="17" t="s">
        <v>218</v>
      </c>
      <c r="E39" s="144">
        <v>1045.2813546432001</v>
      </c>
      <c r="F39" s="145">
        <v>7853.4829300987603</v>
      </c>
      <c r="G39" s="146">
        <v>7.5132718049672702</v>
      </c>
      <c r="H39" s="147">
        <v>7.4824299440457001</v>
      </c>
    </row>
    <row r="40" spans="1:8" x14ac:dyDescent="0.2">
      <c r="A40" s="614" t="s">
        <v>205</v>
      </c>
      <c r="B40" s="614" t="s">
        <v>227</v>
      </c>
      <c r="C40" s="618">
        <v>167</v>
      </c>
      <c r="D40" s="17" t="s">
        <v>219</v>
      </c>
      <c r="E40" s="144">
        <v>203.404645356798</v>
      </c>
      <c r="F40" s="145">
        <v>1173.58906990124</v>
      </c>
      <c r="G40" s="146">
        <v>5.7697259954049303</v>
      </c>
      <c r="H40" s="147">
        <v>0</v>
      </c>
    </row>
    <row r="41" spans="1:8" ht="25.5" x14ac:dyDescent="0.2">
      <c r="A41" s="17" t="s">
        <v>204</v>
      </c>
      <c r="B41" s="17" t="s">
        <v>227</v>
      </c>
      <c r="C41" s="143">
        <v>51</v>
      </c>
      <c r="D41" s="17" t="s">
        <v>218</v>
      </c>
      <c r="E41" s="144">
        <v>1481.37715282256</v>
      </c>
      <c r="F41" s="145">
        <v>4120.6917018914701</v>
      </c>
      <c r="G41" s="146">
        <v>2.7816627886018499</v>
      </c>
      <c r="H41" s="147">
        <v>8.8845020839717392</v>
      </c>
    </row>
    <row r="42" spans="1:8" ht="51" x14ac:dyDescent="0.2">
      <c r="A42" s="17" t="s">
        <v>231</v>
      </c>
      <c r="B42" s="17" t="s">
        <v>227</v>
      </c>
      <c r="C42" s="143">
        <v>123</v>
      </c>
      <c r="D42" s="17" t="s">
        <v>219</v>
      </c>
      <c r="E42" s="144">
        <v>634.32882139160995</v>
      </c>
      <c r="F42" s="145">
        <v>1659.27127161256</v>
      </c>
      <c r="G42" s="146">
        <v>2.61579044756692</v>
      </c>
      <c r="H42" s="147">
        <v>0</v>
      </c>
    </row>
    <row r="43" spans="1:8" ht="38.25" x14ac:dyDescent="0.2">
      <c r="A43" s="17" t="s">
        <v>206</v>
      </c>
      <c r="B43" s="17" t="s">
        <v>227</v>
      </c>
      <c r="C43" s="143">
        <v>89</v>
      </c>
      <c r="D43" s="17" t="s">
        <v>218</v>
      </c>
      <c r="E43" s="144">
        <v>768.34402578582603</v>
      </c>
      <c r="F43" s="145">
        <v>3534.4330264959699</v>
      </c>
      <c r="G43" s="146">
        <v>4.6000657360238</v>
      </c>
      <c r="H43" s="147">
        <v>3.51832073288519</v>
      </c>
    </row>
    <row r="44" spans="1:8" ht="30.75" customHeight="1" x14ac:dyDescent="0.2">
      <c r="A44" s="608" t="s">
        <v>232</v>
      </c>
      <c r="B44" s="609"/>
      <c r="C44" s="609"/>
      <c r="D44" s="609"/>
      <c r="E44" s="609"/>
      <c r="F44" s="609"/>
      <c r="G44" s="609"/>
      <c r="H44" s="609"/>
    </row>
    <row r="45" spans="1:8" s="572" customFormat="1" ht="49.5" customHeight="1" x14ac:dyDescent="0.2">
      <c r="A45" s="626" t="s">
        <v>964</v>
      </c>
      <c r="B45" s="627"/>
      <c r="C45" s="627"/>
      <c r="D45" s="627"/>
      <c r="E45" s="627"/>
      <c r="F45" s="627"/>
      <c r="G45" s="627"/>
      <c r="H45" s="627"/>
    </row>
    <row r="46" spans="1:8" x14ac:dyDescent="0.2">
      <c r="A46" s="610" t="s">
        <v>209</v>
      </c>
      <c r="B46" s="609"/>
      <c r="C46" s="609"/>
      <c r="D46" s="609"/>
      <c r="E46" s="609"/>
      <c r="F46" s="609"/>
      <c r="G46" s="609"/>
      <c r="H46" s="609"/>
    </row>
  </sheetData>
  <mergeCells count="41">
    <mergeCell ref="J1:L2"/>
    <mergeCell ref="A1:H1"/>
    <mergeCell ref="A4:B4"/>
    <mergeCell ref="A44:H44"/>
    <mergeCell ref="A46:H46"/>
    <mergeCell ref="A5:A18"/>
    <mergeCell ref="A19:A24"/>
    <mergeCell ref="A25:A34"/>
    <mergeCell ref="A35:A38"/>
    <mergeCell ref="A39:A40"/>
    <mergeCell ref="B5:B6"/>
    <mergeCell ref="B7:B8"/>
    <mergeCell ref="B9:B10"/>
    <mergeCell ref="B11:B12"/>
    <mergeCell ref="B13:B14"/>
    <mergeCell ref="B15:B16"/>
    <mergeCell ref="C31:C32"/>
    <mergeCell ref="C33:C34"/>
    <mergeCell ref="B17:B18"/>
    <mergeCell ref="B25:B26"/>
    <mergeCell ref="B27:B28"/>
    <mergeCell ref="B29:B30"/>
    <mergeCell ref="B31:B32"/>
    <mergeCell ref="C15:C16"/>
    <mergeCell ref="C17:C18"/>
    <mergeCell ref="C25:C26"/>
    <mergeCell ref="C27:C28"/>
    <mergeCell ref="C29:C30"/>
    <mergeCell ref="C5:C6"/>
    <mergeCell ref="C7:C8"/>
    <mergeCell ref="C9:C10"/>
    <mergeCell ref="C11:C12"/>
    <mergeCell ref="C13:C14"/>
    <mergeCell ref="A45:H45"/>
    <mergeCell ref="C35:C36"/>
    <mergeCell ref="C37:C38"/>
    <mergeCell ref="C39:C40"/>
    <mergeCell ref="B33:B34"/>
    <mergeCell ref="B35:B36"/>
    <mergeCell ref="B37:B38"/>
    <mergeCell ref="B39:B40"/>
  </mergeCells>
  <pageMargins left="0.6" right="0.79" top="0.79" bottom="1.06" header="0.3" footer="0.3"/>
  <pageSetup paperSize="9" fitToWidth="0" fitToHeight="0"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election activeCell="F1" sqref="F1:H2"/>
    </sheetView>
  </sheetViews>
  <sheetFormatPr baseColWidth="10" defaultColWidth="9.140625" defaultRowHeight="12.75" x14ac:dyDescent="0.2"/>
  <cols>
    <col min="1" max="1" width="56.7109375" customWidth="1"/>
    <col min="2" max="2" width="10.7109375" customWidth="1"/>
    <col min="3" max="3" width="8.7109375" customWidth="1"/>
    <col min="4" max="4" width="9.7109375" customWidth="1"/>
  </cols>
  <sheetData>
    <row r="1" spans="1:8" ht="15" customHeight="1" x14ac:dyDescent="0.2">
      <c r="A1" s="612" t="s">
        <v>233</v>
      </c>
      <c r="B1" s="609"/>
      <c r="C1" s="609"/>
      <c r="D1" s="609"/>
      <c r="F1" s="611" t="str">
        <f>HYPERLINK("#'sommaire'!A1", "Retour sommaire")</f>
        <v>Retour sommaire</v>
      </c>
      <c r="G1" s="609"/>
      <c r="H1" s="609"/>
    </row>
    <row r="2" spans="1:8" x14ac:dyDescent="0.2">
      <c r="F2" s="609"/>
      <c r="G2" s="609"/>
      <c r="H2" s="609"/>
    </row>
    <row r="3" spans="1:8" ht="25.5" x14ac:dyDescent="0.2">
      <c r="A3" s="4" t="s">
        <v>19</v>
      </c>
      <c r="B3" s="4" t="s">
        <v>234</v>
      </c>
      <c r="C3" s="4" t="s">
        <v>22</v>
      </c>
      <c r="D3" s="4" t="s">
        <v>235</v>
      </c>
    </row>
    <row r="4" spans="1:8" ht="25.5" x14ac:dyDescent="0.2">
      <c r="A4" s="5"/>
      <c r="B4" s="5" t="s">
        <v>236</v>
      </c>
      <c r="C4" s="5" t="s">
        <v>26</v>
      </c>
      <c r="D4" s="5" t="s">
        <v>237</v>
      </c>
    </row>
    <row r="5" spans="1:8" x14ac:dyDescent="0.2">
      <c r="A5" s="17" t="s">
        <v>196</v>
      </c>
      <c r="B5" s="600">
        <v>2178.4699999999998</v>
      </c>
      <c r="C5" s="599">
        <v>18455.633249999999</v>
      </c>
      <c r="D5" s="600">
        <f>C5/B5</f>
        <v>8.4718326394212458</v>
      </c>
    </row>
    <row r="6" spans="1:8" x14ac:dyDescent="0.2">
      <c r="A6" s="17" t="s">
        <v>238</v>
      </c>
      <c r="B6" s="148">
        <v>69.697400000000002</v>
      </c>
      <c r="C6" s="149">
        <v>943.81700000000001</v>
      </c>
      <c r="D6" s="150">
        <v>13.541638569014101</v>
      </c>
    </row>
    <row r="7" spans="1:8" x14ac:dyDescent="0.2">
      <c r="A7" s="610" t="s">
        <v>209</v>
      </c>
      <c r="B7" s="609"/>
      <c r="C7" s="609"/>
      <c r="D7" s="609"/>
    </row>
  </sheetData>
  <mergeCells count="3">
    <mergeCell ref="F1:H2"/>
    <mergeCell ref="A1:D1"/>
    <mergeCell ref="A7:D7"/>
  </mergeCells>
  <pageMargins left="0.6" right="0.79" top="0.79" bottom="1.06" header="0.3" footer="0.3"/>
  <pageSetup paperSize="9" fitToWidth="0" fitToHeight="0"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election sqref="A1:F1"/>
    </sheetView>
  </sheetViews>
  <sheetFormatPr baseColWidth="10" defaultColWidth="9.140625" defaultRowHeight="12.75" x14ac:dyDescent="0.2"/>
  <cols>
    <col min="1" max="1" width="18.7109375" customWidth="1"/>
    <col min="2" max="2" width="17.7109375" customWidth="1"/>
    <col min="3" max="6" width="12.7109375" customWidth="1"/>
  </cols>
  <sheetData>
    <row r="1" spans="1:10" ht="15" customHeight="1" x14ac:dyDescent="0.2">
      <c r="A1" s="612" t="s">
        <v>239</v>
      </c>
      <c r="B1" s="609"/>
      <c r="C1" s="609"/>
      <c r="D1" s="609"/>
      <c r="E1" s="609"/>
      <c r="F1" s="609"/>
      <c r="H1" s="611" t="str">
        <f>HYPERLINK("#'sommaire'!A1", "Retour sommaire")</f>
        <v>Retour sommaire</v>
      </c>
      <c r="I1" s="609"/>
      <c r="J1" s="609"/>
    </row>
    <row r="2" spans="1:10" x14ac:dyDescent="0.2">
      <c r="H2" s="609"/>
      <c r="I2" s="609"/>
      <c r="J2" s="609"/>
    </row>
    <row r="3" spans="1:10" ht="51" x14ac:dyDescent="0.2">
      <c r="A3" s="4" t="s">
        <v>19</v>
      </c>
      <c r="B3" s="4" t="s">
        <v>20</v>
      </c>
      <c r="C3" s="4" t="s">
        <v>240</v>
      </c>
      <c r="D3" s="4" t="s">
        <v>241</v>
      </c>
      <c r="E3" s="4" t="s">
        <v>22</v>
      </c>
      <c r="F3" s="4" t="s">
        <v>23</v>
      </c>
    </row>
    <row r="4" spans="1:10" ht="25.5" x14ac:dyDescent="0.2">
      <c r="A4" s="5"/>
      <c r="B4" s="5" t="s">
        <v>24</v>
      </c>
      <c r="C4" s="5" t="s">
        <v>242</v>
      </c>
      <c r="D4" s="5" t="s">
        <v>242</v>
      </c>
      <c r="E4" s="5" t="s">
        <v>26</v>
      </c>
      <c r="F4" s="5" t="s">
        <v>27</v>
      </c>
    </row>
    <row r="5" spans="1:10" x14ac:dyDescent="0.2">
      <c r="A5" s="17" t="s">
        <v>196</v>
      </c>
      <c r="B5" s="151">
        <v>946</v>
      </c>
      <c r="C5" s="152">
        <v>2824.64789935</v>
      </c>
      <c r="D5" s="153">
        <v>470.70262500000001</v>
      </c>
      <c r="E5" s="154">
        <v>4198.201</v>
      </c>
      <c r="F5" s="155">
        <v>8.9190091089889307</v>
      </c>
    </row>
    <row r="6" spans="1:10" x14ac:dyDescent="0.2">
      <c r="A6" s="17" t="s">
        <v>202</v>
      </c>
      <c r="B6" s="151">
        <v>161</v>
      </c>
      <c r="C6" s="152">
        <v>1009.2381</v>
      </c>
      <c r="D6" s="153">
        <v>625.18499999999995</v>
      </c>
      <c r="E6" s="154">
        <v>2726.835</v>
      </c>
      <c r="F6" s="155">
        <v>4.3616449530938803</v>
      </c>
    </row>
    <row r="7" spans="1:10" x14ac:dyDescent="0.2">
      <c r="A7" s="17" t="s">
        <v>201</v>
      </c>
      <c r="B7" s="151">
        <v>33</v>
      </c>
      <c r="C7" s="152">
        <v>106.22499999999999</v>
      </c>
      <c r="D7" s="153">
        <v>3.3079999999999998</v>
      </c>
      <c r="E7" s="154">
        <v>53.4</v>
      </c>
      <c r="F7" s="155">
        <v>16.142684401451</v>
      </c>
    </row>
    <row r="8" spans="1:10" ht="25.5" x14ac:dyDescent="0.2">
      <c r="A8" s="17" t="s">
        <v>203</v>
      </c>
      <c r="B8" s="151">
        <v>76</v>
      </c>
      <c r="C8" s="152">
        <v>562.75</v>
      </c>
      <c r="D8" s="153">
        <v>378.87</v>
      </c>
      <c r="E8" s="154">
        <v>406.78399999999999</v>
      </c>
      <c r="F8" s="155">
        <v>1.0736769868292599</v>
      </c>
    </row>
    <row r="9" spans="1:10" x14ac:dyDescent="0.2">
      <c r="A9" s="17" t="s">
        <v>205</v>
      </c>
      <c r="B9" s="151" t="s">
        <v>74</v>
      </c>
      <c r="C9" s="152" t="s">
        <v>74</v>
      </c>
      <c r="D9" s="153" t="s">
        <v>74</v>
      </c>
      <c r="E9" s="154" t="s">
        <v>74</v>
      </c>
      <c r="F9" s="155" t="s">
        <v>74</v>
      </c>
    </row>
    <row r="10" spans="1:10" x14ac:dyDescent="0.2">
      <c r="A10" s="608" t="s">
        <v>243</v>
      </c>
      <c r="B10" s="609"/>
      <c r="C10" s="609"/>
      <c r="D10" s="609"/>
      <c r="E10" s="609"/>
      <c r="F10" s="609"/>
    </row>
    <row r="11" spans="1:10" x14ac:dyDescent="0.2">
      <c r="A11" s="608" t="s">
        <v>244</v>
      </c>
      <c r="B11" s="609"/>
      <c r="C11" s="609"/>
      <c r="D11" s="609"/>
      <c r="E11" s="609"/>
      <c r="F11" s="609"/>
    </row>
    <row r="12" spans="1:10" x14ac:dyDescent="0.2">
      <c r="A12" s="608" t="s">
        <v>245</v>
      </c>
      <c r="B12" s="609"/>
      <c r="C12" s="609"/>
      <c r="D12" s="609"/>
      <c r="E12" s="609"/>
      <c r="F12" s="609"/>
    </row>
    <row r="13" spans="1:10" x14ac:dyDescent="0.2">
      <c r="A13" s="610" t="s">
        <v>209</v>
      </c>
      <c r="B13" s="609"/>
      <c r="C13" s="609"/>
      <c r="D13" s="609"/>
      <c r="E13" s="609"/>
      <c r="F13" s="609"/>
    </row>
  </sheetData>
  <mergeCells count="6">
    <mergeCell ref="A13:F13"/>
    <mergeCell ref="H1:J2"/>
    <mergeCell ref="A1:F1"/>
    <mergeCell ref="A10:F10"/>
    <mergeCell ref="A11:F11"/>
    <mergeCell ref="A12:F12"/>
  </mergeCells>
  <pageMargins left="0.6" right="0.79" top="0.79" bottom="1.06" header="0.3" footer="0.3"/>
  <pageSetup paperSize="9" fitToWidth="0" fitToHeight="0"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sqref="A1:H1"/>
    </sheetView>
  </sheetViews>
  <sheetFormatPr baseColWidth="10" defaultColWidth="9.140625" defaultRowHeight="12.75" x14ac:dyDescent="0.2"/>
  <cols>
    <col min="1" max="1" width="16.7109375" customWidth="1"/>
    <col min="2" max="4" width="8.7109375" customWidth="1"/>
    <col min="5" max="5" width="15.7109375" customWidth="1"/>
    <col min="6" max="6" width="8.7109375" customWidth="1"/>
    <col min="7" max="7" width="9.7109375" customWidth="1"/>
    <col min="8" max="8" width="11.7109375" customWidth="1"/>
  </cols>
  <sheetData>
    <row r="1" spans="1:12" ht="39" customHeight="1" x14ac:dyDescent="0.2">
      <c r="A1" s="612" t="s">
        <v>246</v>
      </c>
      <c r="B1" s="609"/>
      <c r="C1" s="609"/>
      <c r="D1" s="609"/>
      <c r="E1" s="609"/>
      <c r="F1" s="609"/>
      <c r="G1" s="609"/>
      <c r="H1" s="609"/>
      <c r="J1" s="611" t="str">
        <f>HYPERLINK("#'sommaire'!A1", "Retour sommaire")</f>
        <v>Retour sommaire</v>
      </c>
      <c r="K1" s="609"/>
      <c r="L1" s="609"/>
    </row>
    <row r="2" spans="1:12" x14ac:dyDescent="0.2">
      <c r="J2" s="609"/>
      <c r="K2" s="609"/>
      <c r="L2" s="609"/>
    </row>
    <row r="3" spans="1:12" x14ac:dyDescent="0.2">
      <c r="A3" s="619" t="s">
        <v>247</v>
      </c>
      <c r="B3" s="609"/>
      <c r="C3" s="609"/>
      <c r="D3" s="609"/>
      <c r="E3" s="609"/>
      <c r="F3" s="609"/>
      <c r="G3" s="609"/>
      <c r="H3" s="609"/>
    </row>
    <row r="4" spans="1:12" ht="38.25" x14ac:dyDescent="0.2">
      <c r="A4" s="4" t="s">
        <v>248</v>
      </c>
      <c r="B4" s="4" t="s">
        <v>196</v>
      </c>
      <c r="C4" s="4" t="s">
        <v>201</v>
      </c>
      <c r="D4" s="4" t="s">
        <v>202</v>
      </c>
      <c r="E4" s="4" t="s">
        <v>203</v>
      </c>
      <c r="F4" s="4" t="s">
        <v>204</v>
      </c>
      <c r="G4" s="4" t="s">
        <v>205</v>
      </c>
      <c r="H4" s="4" t="s">
        <v>54</v>
      </c>
    </row>
    <row r="5" spans="1:12" x14ac:dyDescent="0.2">
      <c r="A5" s="17" t="s">
        <v>249</v>
      </c>
      <c r="B5" s="157">
        <v>12677.5190368313</v>
      </c>
      <c r="C5" s="159">
        <v>50.284477016158803</v>
      </c>
      <c r="D5" s="161">
        <v>5200.0857434825803</v>
      </c>
      <c r="E5" s="163">
        <v>914.31022869696699</v>
      </c>
      <c r="F5" s="165">
        <v>1428.09229509486</v>
      </c>
      <c r="G5" s="167">
        <v>339.16756395120899</v>
      </c>
      <c r="H5" s="169"/>
    </row>
    <row r="6" spans="1:12" x14ac:dyDescent="0.2">
      <c r="A6" s="17" t="s">
        <v>250</v>
      </c>
      <c r="B6" s="157">
        <v>45069.545684008903</v>
      </c>
      <c r="C6" s="159">
        <v>446.01473639725498</v>
      </c>
      <c r="D6" s="161">
        <v>35488.970895207101</v>
      </c>
      <c r="E6" s="163">
        <v>2465.4020449679701</v>
      </c>
      <c r="F6" s="165"/>
      <c r="G6" s="167">
        <v>42.819506235721299</v>
      </c>
      <c r="H6" s="169"/>
    </row>
    <row r="7" spans="1:12" x14ac:dyDescent="0.2">
      <c r="A7" s="17" t="s">
        <v>251</v>
      </c>
      <c r="B7" s="157">
        <v>8929.1936537464298</v>
      </c>
      <c r="C7" s="159">
        <v>46.457988794181503</v>
      </c>
      <c r="D7" s="161"/>
      <c r="E7" s="163"/>
      <c r="F7" s="165"/>
      <c r="G7" s="167"/>
      <c r="H7" s="169"/>
    </row>
    <row r="8" spans="1:12" x14ac:dyDescent="0.2">
      <c r="A8" s="17" t="s">
        <v>252</v>
      </c>
      <c r="B8" s="157">
        <v>21643.390011219901</v>
      </c>
      <c r="C8" s="159"/>
      <c r="D8" s="161"/>
      <c r="E8" s="163"/>
      <c r="F8" s="165"/>
      <c r="G8" s="167"/>
      <c r="H8" s="169"/>
    </row>
    <row r="9" spans="1:12" x14ac:dyDescent="0.2">
      <c r="A9" s="17" t="s">
        <v>253</v>
      </c>
      <c r="B9" s="157">
        <v>3905.5973649300299</v>
      </c>
      <c r="C9" s="159">
        <v>178.63481738807499</v>
      </c>
      <c r="D9" s="161">
        <v>3503.1861837234801</v>
      </c>
      <c r="E9" s="163">
        <v>1271.90252415388</v>
      </c>
      <c r="F9" s="165">
        <v>53.284857727703198</v>
      </c>
      <c r="G9" s="167">
        <v>663.29428445627195</v>
      </c>
      <c r="H9" s="169">
        <v>768.34402578582603</v>
      </c>
    </row>
    <row r="10" spans="1:12" x14ac:dyDescent="0.2">
      <c r="A10" s="6" t="s">
        <v>75</v>
      </c>
      <c r="B10" s="156">
        <v>92225.245750736503</v>
      </c>
      <c r="C10" s="158">
        <v>721.39201959567004</v>
      </c>
      <c r="D10" s="160">
        <v>44192.242822413202</v>
      </c>
      <c r="E10" s="162">
        <v>4651.6147978188201</v>
      </c>
      <c r="F10" s="164">
        <v>1481.37715282256</v>
      </c>
      <c r="G10" s="166">
        <v>1045.2813546432001</v>
      </c>
      <c r="H10" s="168">
        <v>768.34402578582603</v>
      </c>
    </row>
    <row r="11" spans="1:12" x14ac:dyDescent="0.2">
      <c r="A11" s="610" t="s">
        <v>209</v>
      </c>
      <c r="B11" s="609"/>
      <c r="C11" s="609"/>
      <c r="D11" s="609"/>
      <c r="E11" s="609"/>
      <c r="F11" s="609"/>
      <c r="G11" s="609"/>
      <c r="H11" s="609"/>
    </row>
  </sheetData>
  <mergeCells count="4">
    <mergeCell ref="J1:L2"/>
    <mergeCell ref="A1:H1"/>
    <mergeCell ref="A3:H3"/>
    <mergeCell ref="A11:H11"/>
  </mergeCells>
  <pageMargins left="0.6" right="0.79" top="0.79" bottom="1.06" header="0.3" footer="0.3"/>
  <pageSetup paperSize="9" fitToWidth="0" fitToHeight="0"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workbookViewId="0">
      <selection activeCell="E1" sqref="E1:G2"/>
    </sheetView>
  </sheetViews>
  <sheetFormatPr baseColWidth="10" defaultColWidth="9.140625" defaultRowHeight="12.75" x14ac:dyDescent="0.2"/>
  <cols>
    <col min="1" max="1" width="30.7109375" customWidth="1"/>
    <col min="2" max="3" width="25.7109375" customWidth="1"/>
  </cols>
  <sheetData>
    <row r="1" spans="1:7" ht="39" customHeight="1" x14ac:dyDescent="0.2">
      <c r="A1" s="612" t="s">
        <v>254</v>
      </c>
      <c r="B1" s="609"/>
      <c r="C1" s="609"/>
      <c r="E1" s="611" t="str">
        <f>HYPERLINK("#'sommaire'!A1", "Retour sommaire")</f>
        <v>Retour sommaire</v>
      </c>
      <c r="F1" s="609"/>
      <c r="G1" s="609"/>
    </row>
    <row r="2" spans="1:7" x14ac:dyDescent="0.2">
      <c r="E2" s="609"/>
      <c r="F2" s="609"/>
      <c r="G2" s="609"/>
    </row>
    <row r="3" spans="1:7" x14ac:dyDescent="0.2">
      <c r="A3" s="4" t="s">
        <v>248</v>
      </c>
      <c r="B3" s="4" t="s">
        <v>29</v>
      </c>
      <c r="C3" s="4" t="s">
        <v>255</v>
      </c>
    </row>
    <row r="4" spans="1:7" x14ac:dyDescent="0.2">
      <c r="A4" s="5"/>
      <c r="B4" s="5" t="s">
        <v>25</v>
      </c>
      <c r="C4" s="5" t="s">
        <v>255</v>
      </c>
    </row>
    <row r="5" spans="1:7" x14ac:dyDescent="0.2">
      <c r="A5" s="620" t="s">
        <v>108</v>
      </c>
      <c r="B5" s="621"/>
      <c r="C5" s="621"/>
    </row>
    <row r="6" spans="1:7" x14ac:dyDescent="0.2">
      <c r="A6" s="17" t="s">
        <v>249</v>
      </c>
      <c r="B6" s="171">
        <v>1913.0425971560101</v>
      </c>
      <c r="C6" s="173">
        <v>18.0834430263711</v>
      </c>
    </row>
    <row r="7" spans="1:7" x14ac:dyDescent="0.2">
      <c r="A7" s="17" t="s">
        <v>250</v>
      </c>
      <c r="B7" s="171">
        <v>4024.3607253411301</v>
      </c>
      <c r="C7" s="173">
        <v>38.041127783803802</v>
      </c>
    </row>
    <row r="8" spans="1:7" x14ac:dyDescent="0.2">
      <c r="A8" s="17" t="s">
        <v>251</v>
      </c>
      <c r="B8" s="171">
        <v>1141.0897175366399</v>
      </c>
      <c r="C8" s="173">
        <v>10.7863938449296</v>
      </c>
    </row>
    <row r="9" spans="1:7" x14ac:dyDescent="0.2">
      <c r="A9" s="17" t="s">
        <v>252</v>
      </c>
      <c r="B9" s="171">
        <v>3222.8225417850399</v>
      </c>
      <c r="C9" s="173">
        <v>30.4644172090651</v>
      </c>
    </row>
    <row r="10" spans="1:7" x14ac:dyDescent="0.2">
      <c r="A10" s="17" t="s">
        <v>253</v>
      </c>
      <c r="B10" s="171">
        <v>277.65765002768399</v>
      </c>
      <c r="C10" s="173">
        <v>2.6246181358303802</v>
      </c>
    </row>
    <row r="11" spans="1:7" ht="25.5" x14ac:dyDescent="0.2">
      <c r="A11" s="7" t="s">
        <v>256</v>
      </c>
      <c r="B11" s="170">
        <v>10578.973231846499</v>
      </c>
      <c r="C11" s="172">
        <v>100</v>
      </c>
    </row>
    <row r="12" spans="1:7" x14ac:dyDescent="0.2">
      <c r="A12" s="620" t="s">
        <v>109</v>
      </c>
      <c r="B12" s="621"/>
      <c r="C12" s="621"/>
    </row>
    <row r="13" spans="1:7" x14ac:dyDescent="0.2">
      <c r="A13" s="17" t="s">
        <v>249</v>
      </c>
      <c r="B13" s="171">
        <v>676.96197894794398</v>
      </c>
      <c r="C13" s="173">
        <v>9.2394023097368194</v>
      </c>
    </row>
    <row r="14" spans="1:7" x14ac:dyDescent="0.2">
      <c r="A14" s="17" t="s">
        <v>250</v>
      </c>
      <c r="B14" s="171">
        <v>3569.2842867756399</v>
      </c>
      <c r="C14" s="173">
        <v>48.714779424677403</v>
      </c>
    </row>
    <row r="15" spans="1:7" x14ac:dyDescent="0.2">
      <c r="A15" s="17" t="s">
        <v>251</v>
      </c>
      <c r="B15" s="171">
        <v>826.221634104342</v>
      </c>
      <c r="C15" s="173">
        <v>11.276547741073699</v>
      </c>
    </row>
    <row r="16" spans="1:7" x14ac:dyDescent="0.2">
      <c r="A16" s="17" t="s">
        <v>252</v>
      </c>
      <c r="B16" s="171">
        <v>2151.4622610592801</v>
      </c>
      <c r="C16" s="173">
        <v>29.363872717098801</v>
      </c>
    </row>
    <row r="17" spans="1:3" x14ac:dyDescent="0.2">
      <c r="A17" s="17" t="s">
        <v>253</v>
      </c>
      <c r="B17" s="171">
        <v>102.972124064021</v>
      </c>
      <c r="C17" s="173">
        <v>1.40539780741332</v>
      </c>
    </row>
    <row r="18" spans="1:3" x14ac:dyDescent="0.2">
      <c r="A18" s="7" t="s">
        <v>257</v>
      </c>
      <c r="B18" s="170">
        <v>7326.9022849512303</v>
      </c>
      <c r="C18" s="172">
        <v>100</v>
      </c>
    </row>
    <row r="19" spans="1:3" x14ac:dyDescent="0.2">
      <c r="A19" s="620" t="s">
        <v>110</v>
      </c>
      <c r="B19" s="621"/>
      <c r="C19" s="621"/>
    </row>
    <row r="20" spans="1:3" x14ac:dyDescent="0.2">
      <c r="A20" s="17" t="s">
        <v>249</v>
      </c>
      <c r="B20" s="171">
        <v>655.81689091575402</v>
      </c>
      <c r="C20" s="173">
        <v>7.5897288810230199</v>
      </c>
    </row>
    <row r="21" spans="1:3" x14ac:dyDescent="0.2">
      <c r="A21" s="17" t="s">
        <v>250</v>
      </c>
      <c r="B21" s="171">
        <v>4216.6592739043399</v>
      </c>
      <c r="C21" s="173">
        <v>48.799140607521302</v>
      </c>
    </row>
    <row r="22" spans="1:3" x14ac:dyDescent="0.2">
      <c r="A22" s="17" t="s">
        <v>251</v>
      </c>
      <c r="B22" s="171">
        <v>1599.62483863851</v>
      </c>
      <c r="C22" s="173">
        <v>18.512360698218298</v>
      </c>
    </row>
    <row r="23" spans="1:3" x14ac:dyDescent="0.2">
      <c r="A23" s="17" t="s">
        <v>252</v>
      </c>
      <c r="B23" s="171">
        <v>1271.1319856505299</v>
      </c>
      <c r="C23" s="173">
        <v>14.710732945003199</v>
      </c>
    </row>
    <row r="24" spans="1:3" x14ac:dyDescent="0.2">
      <c r="A24" s="17" t="s">
        <v>253</v>
      </c>
      <c r="B24" s="171">
        <v>897.61441395852205</v>
      </c>
      <c r="C24" s="173">
        <v>10.388036868234201</v>
      </c>
    </row>
    <row r="25" spans="1:3" x14ac:dyDescent="0.2">
      <c r="A25" s="7" t="s">
        <v>258</v>
      </c>
      <c r="B25" s="170">
        <v>8640.8474030676607</v>
      </c>
      <c r="C25" s="172">
        <v>100</v>
      </c>
    </row>
    <row r="26" spans="1:3" x14ac:dyDescent="0.2">
      <c r="A26" s="620" t="s">
        <v>111</v>
      </c>
      <c r="B26" s="621"/>
      <c r="C26" s="621"/>
    </row>
    <row r="27" spans="1:3" x14ac:dyDescent="0.2">
      <c r="A27" s="17" t="s">
        <v>249</v>
      </c>
      <c r="B27" s="171">
        <v>550.92359288201396</v>
      </c>
      <c r="C27" s="173">
        <v>6.9281287975900696</v>
      </c>
    </row>
    <row r="28" spans="1:3" x14ac:dyDescent="0.2">
      <c r="A28" s="17" t="s">
        <v>250</v>
      </c>
      <c r="B28" s="171">
        <v>1970.4257684440599</v>
      </c>
      <c r="C28" s="173">
        <v>24.779050464071201</v>
      </c>
    </row>
    <row r="29" spans="1:3" x14ac:dyDescent="0.2">
      <c r="A29" s="17" t="s">
        <v>251</v>
      </c>
      <c r="B29" s="171">
        <v>950.48847712541601</v>
      </c>
      <c r="C29" s="173">
        <v>11.952849134127399</v>
      </c>
    </row>
    <row r="30" spans="1:3" x14ac:dyDescent="0.2">
      <c r="A30" s="17" t="s">
        <v>252</v>
      </c>
      <c r="B30" s="171">
        <v>3837.0082412726101</v>
      </c>
      <c r="C30" s="173">
        <v>48.252221608240802</v>
      </c>
    </row>
    <row r="31" spans="1:3" x14ac:dyDescent="0.2">
      <c r="A31" s="17" t="s">
        <v>253</v>
      </c>
      <c r="B31" s="171">
        <v>643.13646819925202</v>
      </c>
      <c r="C31" s="173">
        <v>8.0877499959705794</v>
      </c>
    </row>
    <row r="32" spans="1:3" x14ac:dyDescent="0.2">
      <c r="A32" s="7" t="s">
        <v>259</v>
      </c>
      <c r="B32" s="170">
        <v>7951.9825479233496</v>
      </c>
      <c r="C32" s="172">
        <v>100</v>
      </c>
    </row>
    <row r="33" spans="1:3" x14ac:dyDescent="0.2">
      <c r="A33" s="620" t="s">
        <v>112</v>
      </c>
      <c r="B33" s="621"/>
      <c r="C33" s="621"/>
    </row>
    <row r="34" spans="1:3" x14ac:dyDescent="0.2">
      <c r="A34" s="17" t="s">
        <v>249</v>
      </c>
      <c r="B34" s="171">
        <v>5565.6317733379901</v>
      </c>
      <c r="C34" s="173">
        <v>12.524060579771801</v>
      </c>
    </row>
    <row r="35" spans="1:3" x14ac:dyDescent="0.2">
      <c r="A35" s="17" t="s">
        <v>250</v>
      </c>
      <c r="B35" s="171">
        <v>26520.342342364402</v>
      </c>
      <c r="C35" s="173">
        <v>59.6773893097238</v>
      </c>
    </row>
    <row r="36" spans="1:3" x14ac:dyDescent="0.2">
      <c r="A36" s="17" t="s">
        <v>251</v>
      </c>
      <c r="B36" s="171">
        <v>3305.2277022088001</v>
      </c>
      <c r="C36" s="173">
        <v>7.4375872602108002</v>
      </c>
    </row>
    <row r="37" spans="1:3" x14ac:dyDescent="0.2">
      <c r="A37" s="17" t="s">
        <v>252</v>
      </c>
      <c r="B37" s="171">
        <v>7414.4263105990403</v>
      </c>
      <c r="C37" s="173">
        <v>16.684309717188601</v>
      </c>
    </row>
    <row r="38" spans="1:3" x14ac:dyDescent="0.2">
      <c r="A38" s="17" t="s">
        <v>253</v>
      </c>
      <c r="B38" s="171">
        <v>1633.88681864105</v>
      </c>
      <c r="C38" s="173">
        <v>3.67665313310488</v>
      </c>
    </row>
    <row r="39" spans="1:3" x14ac:dyDescent="0.2">
      <c r="A39" s="7" t="s">
        <v>260</v>
      </c>
      <c r="B39" s="170">
        <v>44439.5149471513</v>
      </c>
      <c r="C39" s="172">
        <v>100</v>
      </c>
    </row>
    <row r="40" spans="1:3" x14ac:dyDescent="0.2">
      <c r="A40" s="620" t="s">
        <v>113</v>
      </c>
      <c r="B40" s="621"/>
      <c r="C40" s="621"/>
    </row>
    <row r="41" spans="1:3" x14ac:dyDescent="0.2">
      <c r="A41" s="17" t="s">
        <v>249</v>
      </c>
      <c r="B41" s="171">
        <v>1277.8001297254</v>
      </c>
      <c r="C41" s="173">
        <v>18.135199856934399</v>
      </c>
    </row>
    <row r="42" spans="1:3" x14ac:dyDescent="0.2">
      <c r="A42" s="17" t="s">
        <v>250</v>
      </c>
      <c r="B42" s="171">
        <v>4767.1616262247198</v>
      </c>
      <c r="C42" s="173">
        <v>67.658021650438101</v>
      </c>
    </row>
    <row r="43" spans="1:3" x14ac:dyDescent="0.2">
      <c r="A43" s="17" t="s">
        <v>251</v>
      </c>
      <c r="B43" s="171">
        <v>127.164779667087</v>
      </c>
      <c r="C43" s="173">
        <v>1.8047882766464001</v>
      </c>
    </row>
    <row r="44" spans="1:3" x14ac:dyDescent="0.2">
      <c r="A44" s="17" t="s">
        <v>252</v>
      </c>
      <c r="B44" s="171">
        <v>707.06380523222197</v>
      </c>
      <c r="C44" s="173">
        <v>10.0350149614138</v>
      </c>
    </row>
    <row r="45" spans="1:3" x14ac:dyDescent="0.2">
      <c r="A45" s="17" t="s">
        <v>253</v>
      </c>
      <c r="B45" s="171">
        <v>166.77628651478301</v>
      </c>
      <c r="C45" s="173">
        <v>2.3669752545673299</v>
      </c>
    </row>
    <row r="46" spans="1:3" x14ac:dyDescent="0.2">
      <c r="A46" s="7" t="s">
        <v>261</v>
      </c>
      <c r="B46" s="170">
        <v>7045.9666273642097</v>
      </c>
      <c r="C46" s="172">
        <v>100</v>
      </c>
    </row>
    <row r="47" spans="1:3" x14ac:dyDescent="0.2">
      <c r="A47" s="620" t="s">
        <v>114</v>
      </c>
      <c r="B47" s="621"/>
      <c r="C47" s="621"/>
    </row>
    <row r="48" spans="1:3" x14ac:dyDescent="0.2">
      <c r="A48" s="17" t="s">
        <v>249</v>
      </c>
      <c r="B48" s="171">
        <v>2087.6265508823799</v>
      </c>
      <c r="C48" s="173">
        <v>29.984076475808401</v>
      </c>
    </row>
    <row r="49" spans="1:3" x14ac:dyDescent="0.2">
      <c r="A49" s="17" t="s">
        <v>250</v>
      </c>
      <c r="B49" s="171">
        <v>447.32639735184603</v>
      </c>
      <c r="C49" s="173">
        <v>6.4248411202551701</v>
      </c>
    </row>
    <row r="50" spans="1:3" x14ac:dyDescent="0.2">
      <c r="A50" s="17" t="s">
        <v>251</v>
      </c>
      <c r="B50" s="171">
        <v>1025.83449325981</v>
      </c>
      <c r="C50" s="173">
        <v>14.7338133271123</v>
      </c>
    </row>
    <row r="51" spans="1:3" x14ac:dyDescent="0.2">
      <c r="A51" s="17" t="s">
        <v>252</v>
      </c>
      <c r="B51" s="171">
        <v>3039.47486562113</v>
      </c>
      <c r="C51" s="173">
        <v>43.655244171214797</v>
      </c>
    </row>
    <row r="52" spans="1:3" x14ac:dyDescent="0.2">
      <c r="A52" s="17" t="s">
        <v>253</v>
      </c>
      <c r="B52" s="171">
        <v>362.18842091278998</v>
      </c>
      <c r="C52" s="173">
        <v>5.2020249056092904</v>
      </c>
    </row>
    <row r="53" spans="1:3" x14ac:dyDescent="0.2">
      <c r="A53" s="7" t="s">
        <v>262</v>
      </c>
      <c r="B53" s="170">
        <v>6962.4507280279604</v>
      </c>
      <c r="C53" s="172">
        <v>100</v>
      </c>
    </row>
    <row r="54" spans="1:3" x14ac:dyDescent="0.2">
      <c r="A54" s="610" t="s">
        <v>209</v>
      </c>
      <c r="B54" s="609"/>
      <c r="C54" s="609"/>
    </row>
  </sheetData>
  <mergeCells count="10">
    <mergeCell ref="E1:G2"/>
    <mergeCell ref="A1:C1"/>
    <mergeCell ref="A54:C54"/>
    <mergeCell ref="A5:C5"/>
    <mergeCell ref="A12:C12"/>
    <mergeCell ref="A19:C19"/>
    <mergeCell ref="A26:C26"/>
    <mergeCell ref="A33:C33"/>
    <mergeCell ref="A40:C40"/>
    <mergeCell ref="A47:C47"/>
  </mergeCells>
  <pageMargins left="0.6" right="0.79" top="0.79" bottom="1.06" header="0.3" footer="0.3"/>
  <pageSetup paperSize="9" fitToWidth="0" fitToHeight="0"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A6" sqref="A6:D6"/>
    </sheetView>
  </sheetViews>
  <sheetFormatPr baseColWidth="10" defaultColWidth="9.140625" defaultRowHeight="12.75" x14ac:dyDescent="0.2"/>
  <cols>
    <col min="1" max="1" width="40.7109375" customWidth="1"/>
    <col min="2" max="3" width="14.7109375" customWidth="1"/>
    <col min="4" max="4" width="15.7109375" customWidth="1"/>
  </cols>
  <sheetData>
    <row r="1" spans="1:8" ht="15" customHeight="1" x14ac:dyDescent="0.2">
      <c r="A1" s="612" t="s">
        <v>263</v>
      </c>
      <c r="B1" s="609"/>
      <c r="C1" s="609"/>
      <c r="D1" s="609"/>
      <c r="F1" s="628" t="str">
        <f>HYPERLINK("#'sommaire'!A1", "Retour sommaire")</f>
        <v>Retour sommaire</v>
      </c>
      <c r="G1" s="628"/>
      <c r="H1" s="628"/>
    </row>
    <row r="2" spans="1:8" x14ac:dyDescent="0.2">
      <c r="F2" s="628"/>
      <c r="G2" s="628"/>
      <c r="H2" s="628"/>
    </row>
    <row r="3" spans="1:8" x14ac:dyDescent="0.2">
      <c r="A3" s="619" t="s">
        <v>264</v>
      </c>
      <c r="B3" s="609"/>
      <c r="C3" s="609"/>
      <c r="D3" s="609"/>
    </row>
    <row r="4" spans="1:8" ht="51" x14ac:dyDescent="0.2">
      <c r="A4" s="4" t="s">
        <v>194</v>
      </c>
      <c r="B4" s="4" t="s">
        <v>29</v>
      </c>
      <c r="C4" s="4" t="s">
        <v>30</v>
      </c>
      <c r="D4" s="4" t="s">
        <v>265</v>
      </c>
    </row>
    <row r="5" spans="1:8" ht="25.5" x14ac:dyDescent="0.2">
      <c r="A5" s="7" t="s">
        <v>266</v>
      </c>
      <c r="B5" s="175">
        <v>126830.93046606499</v>
      </c>
      <c r="C5" s="178">
        <v>16426.541657233101</v>
      </c>
      <c r="D5" s="181">
        <v>2832.8603415138</v>
      </c>
    </row>
    <row r="6" spans="1:8" x14ac:dyDescent="0.2">
      <c r="A6" s="7" t="s">
        <v>267</v>
      </c>
      <c r="B6" s="175">
        <v>380030.79829083802</v>
      </c>
      <c r="C6" s="178">
        <v>101061.85124276701</v>
      </c>
      <c r="D6" s="181">
        <v>15508.6076584862</v>
      </c>
    </row>
    <row r="7" spans="1:8" x14ac:dyDescent="0.2">
      <c r="A7" s="8" t="s">
        <v>268</v>
      </c>
      <c r="B7" s="176">
        <v>90600.920633826798</v>
      </c>
      <c r="C7" s="179">
        <v>6194.7544261766097</v>
      </c>
      <c r="D7" s="182">
        <v>2745.7334988938801</v>
      </c>
    </row>
    <row r="8" spans="1:8" x14ac:dyDescent="0.2">
      <c r="A8" s="8" t="s">
        <v>269</v>
      </c>
      <c r="B8" s="176">
        <v>74916.197948233006</v>
      </c>
      <c r="C8" s="179">
        <v>21085.774176392799</v>
      </c>
      <c r="D8" s="182">
        <v>3164.07555998725</v>
      </c>
    </row>
    <row r="9" spans="1:8" x14ac:dyDescent="0.2">
      <c r="A9" s="8" t="s">
        <v>270</v>
      </c>
      <c r="B9" s="176">
        <v>99157.966114699302</v>
      </c>
      <c r="C9" s="179">
        <v>50951.113378381102</v>
      </c>
      <c r="D9" s="182">
        <v>3707.8321677908498</v>
      </c>
    </row>
    <row r="10" spans="1:8" x14ac:dyDescent="0.2">
      <c r="A10" s="8" t="s">
        <v>271</v>
      </c>
      <c r="B10" s="176">
        <v>74784.573316829905</v>
      </c>
      <c r="C10" s="179">
        <v>18831.2944115379</v>
      </c>
      <c r="D10" s="182">
        <v>872.50782685755905</v>
      </c>
    </row>
    <row r="11" spans="1:8" x14ac:dyDescent="0.2">
      <c r="A11" s="8" t="s">
        <v>272</v>
      </c>
      <c r="B11" s="176">
        <v>27206.617392084601</v>
      </c>
      <c r="C11" s="179">
        <v>770.49218057824203</v>
      </c>
      <c r="D11" s="182">
        <v>4666.4472502481403</v>
      </c>
    </row>
    <row r="12" spans="1:8" x14ac:dyDescent="0.2">
      <c r="A12" s="8" t="s">
        <v>273</v>
      </c>
      <c r="B12" s="176">
        <v>13364.522885164801</v>
      </c>
      <c r="C12" s="179">
        <v>3228.42266970012</v>
      </c>
      <c r="D12" s="182">
        <v>352.01135470852898</v>
      </c>
    </row>
    <row r="13" spans="1:8" x14ac:dyDescent="0.2">
      <c r="A13" s="6" t="s">
        <v>274</v>
      </c>
      <c r="B13" s="174">
        <v>506861.72875690297</v>
      </c>
      <c r="C13" s="177">
        <v>117488.39290000001</v>
      </c>
      <c r="D13" s="180">
        <v>18341.468000000001</v>
      </c>
    </row>
    <row r="14" spans="1:8" x14ac:dyDescent="0.2">
      <c r="A14" s="610" t="s">
        <v>209</v>
      </c>
      <c r="B14" s="609"/>
      <c r="C14" s="609"/>
      <c r="D14" s="609"/>
    </row>
  </sheetData>
  <mergeCells count="4">
    <mergeCell ref="F1:H2"/>
    <mergeCell ref="A1:D1"/>
    <mergeCell ref="A3:D3"/>
    <mergeCell ref="A14:D14"/>
  </mergeCells>
  <pageMargins left="0.6" right="0.79" top="0.79" bottom="1.06" header="0.3" footer="0.3"/>
  <pageSetup paperSize="9" fitToWidth="0" fitToHeight="0"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B4" sqref="B4"/>
    </sheetView>
  </sheetViews>
  <sheetFormatPr baseColWidth="10" defaultColWidth="9.140625" defaultRowHeight="12.75" x14ac:dyDescent="0.2"/>
  <cols>
    <col min="1" max="2" width="25.7109375" customWidth="1"/>
  </cols>
  <sheetData>
    <row r="1" spans="1:6" ht="41.25" customHeight="1" x14ac:dyDescent="0.2">
      <c r="A1" s="612" t="s">
        <v>275</v>
      </c>
      <c r="B1" s="609"/>
      <c r="D1" s="611" t="str">
        <f>HYPERLINK("#'sommaire'!A1", "Retour sommaire")</f>
        <v>Retour sommaire</v>
      </c>
      <c r="E1" s="609"/>
      <c r="F1" s="609"/>
    </row>
    <row r="2" spans="1:6" x14ac:dyDescent="0.2">
      <c r="D2" s="609"/>
      <c r="E2" s="609"/>
      <c r="F2" s="609"/>
    </row>
    <row r="3" spans="1:6" ht="25.5" x14ac:dyDescent="0.2">
      <c r="A3" s="4" t="s">
        <v>107</v>
      </c>
      <c r="B3" s="587" t="s">
        <v>965</v>
      </c>
    </row>
    <row r="4" spans="1:6" x14ac:dyDescent="0.2">
      <c r="A4" s="5"/>
      <c r="B4" s="592" t="s">
        <v>25</v>
      </c>
    </row>
    <row r="5" spans="1:6" x14ac:dyDescent="0.2">
      <c r="A5" s="17" t="s">
        <v>108</v>
      </c>
      <c r="B5" s="184">
        <v>150.63300000000001</v>
      </c>
    </row>
    <row r="6" spans="1:6" x14ac:dyDescent="0.2">
      <c r="A6" s="17" t="s">
        <v>109</v>
      </c>
      <c r="B6" s="184">
        <v>1190.8367499999999</v>
      </c>
    </row>
    <row r="7" spans="1:6" x14ac:dyDescent="0.2">
      <c r="A7" s="17" t="s">
        <v>110</v>
      </c>
      <c r="B7" s="184">
        <v>348.85974599999997</v>
      </c>
    </row>
    <row r="8" spans="1:6" x14ac:dyDescent="0.2">
      <c r="A8" s="17" t="s">
        <v>111</v>
      </c>
      <c r="B8" s="184">
        <v>1204.5534600000001</v>
      </c>
    </row>
    <row r="9" spans="1:6" x14ac:dyDescent="0.2">
      <c r="A9" s="17" t="s">
        <v>112</v>
      </c>
      <c r="B9" s="184">
        <v>32109.129739013999</v>
      </c>
    </row>
    <row r="10" spans="1:6" x14ac:dyDescent="0.2">
      <c r="A10" s="17" t="s">
        <v>113</v>
      </c>
      <c r="B10" s="184">
        <v>417.74000003999998</v>
      </c>
    </row>
    <row r="11" spans="1:6" x14ac:dyDescent="0.2">
      <c r="A11" s="17" t="s">
        <v>114</v>
      </c>
      <c r="B11" s="184">
        <v>174.00701000000001</v>
      </c>
    </row>
    <row r="12" spans="1:6" x14ac:dyDescent="0.2">
      <c r="A12" s="6" t="s">
        <v>75</v>
      </c>
      <c r="B12" s="183">
        <v>35595.759705053999</v>
      </c>
    </row>
    <row r="13" spans="1:6" x14ac:dyDescent="0.2">
      <c r="A13" s="610" t="s">
        <v>209</v>
      </c>
      <c r="B13" s="609"/>
    </row>
  </sheetData>
  <mergeCells count="3">
    <mergeCell ref="D1:F2"/>
    <mergeCell ref="A1:B1"/>
    <mergeCell ref="A13:B13"/>
  </mergeCells>
  <pageMargins left="0.6" right="0.79" top="0.79" bottom="1.06" header="0.3" footer="0.3"/>
  <pageSetup paperSize="9" fitToWidth="0" fitToHeight="0"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I1" sqref="I1:K2"/>
    </sheetView>
  </sheetViews>
  <sheetFormatPr baseColWidth="10" defaultColWidth="9.140625" defaultRowHeight="12.75" x14ac:dyDescent="0.2"/>
  <cols>
    <col min="1" max="1" width="11.7109375" customWidth="1"/>
    <col min="2" max="7" width="12.7109375" customWidth="1"/>
  </cols>
  <sheetData>
    <row r="1" spans="1:11" ht="39" customHeight="1" x14ac:dyDescent="0.2">
      <c r="A1" s="612" t="s">
        <v>276</v>
      </c>
      <c r="B1" s="609"/>
      <c r="C1" s="609"/>
      <c r="D1" s="609"/>
      <c r="E1" s="609"/>
      <c r="F1" s="609"/>
      <c r="G1" s="609"/>
      <c r="I1" s="611" t="str">
        <f>HYPERLINK("#'sommaire'!A1", "Retour sommaire")</f>
        <v>Retour sommaire</v>
      </c>
      <c r="J1" s="609"/>
      <c r="K1" s="609"/>
    </row>
    <row r="2" spans="1:11" x14ac:dyDescent="0.2">
      <c r="I2" s="609"/>
      <c r="J2" s="609"/>
      <c r="K2" s="609"/>
    </row>
    <row r="3" spans="1:11" x14ac:dyDescent="0.2">
      <c r="A3" s="619" t="s">
        <v>67</v>
      </c>
      <c r="B3" s="609"/>
      <c r="C3" s="609"/>
      <c r="D3" s="609"/>
      <c r="E3" s="609"/>
      <c r="F3" s="609"/>
      <c r="G3" s="609"/>
    </row>
    <row r="4" spans="1:11" ht="38.25" x14ac:dyDescent="0.2">
      <c r="A4" s="4" t="s">
        <v>107</v>
      </c>
      <c r="B4" s="4" t="s">
        <v>277</v>
      </c>
      <c r="C4" s="4" t="s">
        <v>278</v>
      </c>
      <c r="D4" s="4" t="s">
        <v>279</v>
      </c>
      <c r="E4" s="4" t="s">
        <v>280</v>
      </c>
      <c r="F4" s="4" t="s">
        <v>281</v>
      </c>
      <c r="G4" s="4" t="s">
        <v>274</v>
      </c>
    </row>
    <row r="5" spans="1:11" ht="25.5" x14ac:dyDescent="0.2">
      <c r="A5" s="17" t="s">
        <v>108</v>
      </c>
      <c r="B5" s="185">
        <v>249</v>
      </c>
      <c r="C5" s="618">
        <v>3</v>
      </c>
      <c r="D5" s="618">
        <v>0</v>
      </c>
      <c r="E5" s="618">
        <v>0</v>
      </c>
      <c r="F5" s="189">
        <v>4</v>
      </c>
      <c r="G5" s="190">
        <v>256</v>
      </c>
    </row>
    <row r="6" spans="1:11" ht="25.5" x14ac:dyDescent="0.2">
      <c r="A6" s="17" t="s">
        <v>109</v>
      </c>
      <c r="B6" s="185">
        <v>145</v>
      </c>
      <c r="C6" s="618">
        <v>7</v>
      </c>
      <c r="D6" s="618">
        <v>0</v>
      </c>
      <c r="E6" s="618">
        <v>0</v>
      </c>
      <c r="F6" s="189">
        <v>5</v>
      </c>
      <c r="G6" s="190">
        <v>157</v>
      </c>
    </row>
    <row r="7" spans="1:11" ht="25.5" x14ac:dyDescent="0.2">
      <c r="A7" s="17" t="s">
        <v>110</v>
      </c>
      <c r="B7" s="185">
        <v>307</v>
      </c>
      <c r="C7" s="186">
        <v>7</v>
      </c>
      <c r="D7" s="187">
        <v>0</v>
      </c>
      <c r="E7" s="188">
        <v>0</v>
      </c>
      <c r="F7" s="189">
        <v>19</v>
      </c>
      <c r="G7" s="190">
        <v>333</v>
      </c>
    </row>
    <row r="8" spans="1:11" ht="25.5" x14ac:dyDescent="0.2">
      <c r="A8" s="17" t="s">
        <v>111</v>
      </c>
      <c r="B8" s="185">
        <v>116</v>
      </c>
      <c r="C8" s="186">
        <v>43</v>
      </c>
      <c r="D8" s="187">
        <v>8</v>
      </c>
      <c r="E8" s="188">
        <v>6</v>
      </c>
      <c r="F8" s="189">
        <v>14</v>
      </c>
      <c r="G8" s="190">
        <v>187</v>
      </c>
    </row>
    <row r="9" spans="1:11" ht="25.5" x14ac:dyDescent="0.2">
      <c r="A9" s="17" t="s">
        <v>112</v>
      </c>
      <c r="B9" s="185">
        <v>175</v>
      </c>
      <c r="C9" s="186">
        <v>69</v>
      </c>
      <c r="D9" s="187">
        <v>34</v>
      </c>
      <c r="E9" s="188">
        <v>83</v>
      </c>
      <c r="F9" s="189">
        <v>246</v>
      </c>
      <c r="G9" s="190">
        <v>607</v>
      </c>
    </row>
    <row r="10" spans="1:11" ht="25.5" x14ac:dyDescent="0.2">
      <c r="A10" s="17" t="s">
        <v>113</v>
      </c>
      <c r="B10" s="185">
        <v>213</v>
      </c>
      <c r="C10" s="618">
        <v>8</v>
      </c>
      <c r="D10" s="618">
        <v>0</v>
      </c>
      <c r="E10" s="188">
        <v>4</v>
      </c>
      <c r="F10" s="189">
        <v>18</v>
      </c>
      <c r="G10" s="190">
        <v>243</v>
      </c>
    </row>
    <row r="11" spans="1:11" x14ac:dyDescent="0.2">
      <c r="A11" s="17" t="s">
        <v>114</v>
      </c>
      <c r="B11" s="185">
        <v>366</v>
      </c>
      <c r="C11" s="186">
        <v>5</v>
      </c>
      <c r="D11" s="187">
        <v>3</v>
      </c>
      <c r="E11" s="188">
        <v>4</v>
      </c>
      <c r="F11" s="189">
        <v>11</v>
      </c>
      <c r="G11" s="190">
        <v>389</v>
      </c>
    </row>
    <row r="12" spans="1:11" ht="45" customHeight="1" x14ac:dyDescent="0.2">
      <c r="A12" s="608" t="s">
        <v>282</v>
      </c>
      <c r="B12" s="609"/>
      <c r="C12" s="609"/>
      <c r="D12" s="609"/>
      <c r="E12" s="609"/>
      <c r="F12" s="609"/>
      <c r="G12" s="609"/>
    </row>
    <row r="13" spans="1:11" x14ac:dyDescent="0.2">
      <c r="A13" s="610" t="s">
        <v>209</v>
      </c>
      <c r="B13" s="609"/>
      <c r="C13" s="609"/>
      <c r="D13" s="609"/>
      <c r="E13" s="609"/>
      <c r="F13" s="609"/>
      <c r="G13" s="609"/>
    </row>
  </sheetData>
  <mergeCells count="8">
    <mergeCell ref="I1:K2"/>
    <mergeCell ref="A1:G1"/>
    <mergeCell ref="A3:G3"/>
    <mergeCell ref="A12:G12"/>
    <mergeCell ref="A13:G13"/>
    <mergeCell ref="C5:E5"/>
    <mergeCell ref="C6:E6"/>
    <mergeCell ref="C10:D10"/>
  </mergeCells>
  <pageMargins left="0.6" right="0.79" top="0.79" bottom="1.06" header="0.3" footer="0.3"/>
  <pageSetup paperSize="9" fitToWidth="0" fitToHeight="0"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opLeftCell="A2" workbookViewId="0">
      <selection activeCell="D6" sqref="D6"/>
    </sheetView>
  </sheetViews>
  <sheetFormatPr baseColWidth="10" defaultColWidth="9.140625" defaultRowHeight="12.75" x14ac:dyDescent="0.2"/>
  <cols>
    <col min="1" max="1" width="25.7109375" customWidth="1"/>
    <col min="2" max="5" width="9.7109375" customWidth="1"/>
    <col min="6" max="7" width="11.7109375" customWidth="1"/>
  </cols>
  <sheetData>
    <row r="1" spans="1:11" ht="15" customHeight="1" x14ac:dyDescent="0.2">
      <c r="A1" s="612" t="s">
        <v>283</v>
      </c>
      <c r="B1" s="609"/>
      <c r="C1" s="609"/>
      <c r="D1" s="609"/>
      <c r="E1" s="609"/>
      <c r="F1" s="609"/>
      <c r="G1" s="609"/>
      <c r="I1" s="611" t="str">
        <f>HYPERLINK("#'sommaire'!A1", "Retour sommaire")</f>
        <v>Retour sommaire</v>
      </c>
      <c r="J1" s="609"/>
      <c r="K1" s="609"/>
    </row>
    <row r="2" spans="1:11" x14ac:dyDescent="0.2">
      <c r="I2" s="609"/>
      <c r="J2" s="609"/>
      <c r="K2" s="609"/>
    </row>
    <row r="3" spans="1:11" ht="89.25" x14ac:dyDescent="0.2">
      <c r="A3" s="4" t="s">
        <v>284</v>
      </c>
      <c r="B3" s="4" t="s">
        <v>29</v>
      </c>
      <c r="C3" s="4" t="s">
        <v>285</v>
      </c>
      <c r="D3" s="4" t="s">
        <v>30</v>
      </c>
      <c r="E3" s="4" t="s">
        <v>286</v>
      </c>
      <c r="F3" s="4" t="s">
        <v>287</v>
      </c>
      <c r="G3" s="4" t="s">
        <v>288</v>
      </c>
    </row>
    <row r="4" spans="1:11" x14ac:dyDescent="0.2">
      <c r="A4" s="5"/>
      <c r="B4" s="5" t="s">
        <v>25</v>
      </c>
      <c r="C4" s="5" t="s">
        <v>52</v>
      </c>
      <c r="D4" s="5" t="s">
        <v>25</v>
      </c>
      <c r="E4" s="5" t="s">
        <v>52</v>
      </c>
      <c r="F4" s="5" t="s">
        <v>25</v>
      </c>
      <c r="G4" s="5" t="s">
        <v>52</v>
      </c>
    </row>
    <row r="5" spans="1:11" x14ac:dyDescent="0.2">
      <c r="A5" s="17" t="s">
        <v>289</v>
      </c>
      <c r="B5" s="191">
        <v>20924.097337819199</v>
      </c>
      <c r="C5" s="192">
        <v>22.511946467092098</v>
      </c>
      <c r="D5" s="193">
        <v>1696.33173948594</v>
      </c>
      <c r="E5" s="194">
        <v>3.47296839794096</v>
      </c>
      <c r="F5" s="195">
        <v>600.15334287512496</v>
      </c>
      <c r="G5" s="196">
        <v>18.214047995977701</v>
      </c>
    </row>
    <row r="6" spans="1:11" ht="51" x14ac:dyDescent="0.2">
      <c r="A6" s="17" t="s">
        <v>290</v>
      </c>
      <c r="B6" s="191">
        <v>14280.164977427001</v>
      </c>
      <c r="C6" s="192">
        <v>15.3638316780353</v>
      </c>
      <c r="D6" s="193">
        <v>9790.3343462460907</v>
      </c>
      <c r="E6" s="194">
        <v>20.0441464357041</v>
      </c>
      <c r="F6" s="195">
        <v>34.538256654394303</v>
      </c>
      <c r="G6" s="196">
        <v>1.0482012170203401</v>
      </c>
    </row>
    <row r="7" spans="1:11" x14ac:dyDescent="0.2">
      <c r="A7" s="17" t="s">
        <v>291</v>
      </c>
      <c r="B7" s="191"/>
      <c r="C7" s="192"/>
      <c r="D7" s="193">
        <v>24786.275505870399</v>
      </c>
      <c r="E7" s="194">
        <v>50.745941687463102</v>
      </c>
      <c r="F7" s="195"/>
      <c r="G7" s="196"/>
    </row>
    <row r="8" spans="1:11" ht="38.25" x14ac:dyDescent="0.2">
      <c r="A8" s="17" t="s">
        <v>292</v>
      </c>
      <c r="B8" s="191">
        <v>3308.9283637728099</v>
      </c>
      <c r="C8" s="192">
        <v>3.5600301884496899</v>
      </c>
      <c r="D8" s="193">
        <v>382.90150871001202</v>
      </c>
      <c r="E8" s="194">
        <v>0.78392970450271604</v>
      </c>
      <c r="F8" s="195"/>
      <c r="G8" s="196"/>
    </row>
    <row r="9" spans="1:11" x14ac:dyDescent="0.2">
      <c r="A9" s="17" t="s">
        <v>293</v>
      </c>
      <c r="B9" s="191">
        <v>882.97198378939197</v>
      </c>
      <c r="C9" s="192">
        <v>0.94997732566850202</v>
      </c>
      <c r="D9" s="193">
        <v>1666.22145408955</v>
      </c>
      <c r="E9" s="194">
        <v>3.4113223960413999</v>
      </c>
      <c r="F9" s="195">
        <v>55.426300728955901</v>
      </c>
      <c r="G9" s="196">
        <v>1.68213226453152</v>
      </c>
    </row>
    <row r="10" spans="1:11" ht="38.25" x14ac:dyDescent="0.2">
      <c r="A10" s="17" t="s">
        <v>294</v>
      </c>
      <c r="B10" s="191">
        <v>1317.0651029631999</v>
      </c>
      <c r="C10" s="192">
        <v>1.4170120991548101</v>
      </c>
      <c r="D10" s="193">
        <v>224.230535700665</v>
      </c>
      <c r="E10" s="194">
        <v>0.459076220891663</v>
      </c>
      <c r="F10" s="195"/>
      <c r="G10" s="196"/>
    </row>
    <row r="11" spans="1:11" ht="25.5" x14ac:dyDescent="0.2">
      <c r="A11" s="17" t="s">
        <v>295</v>
      </c>
      <c r="B11" s="191">
        <v>8090.35946609042</v>
      </c>
      <c r="C11" s="192">
        <v>8.7043056749200591</v>
      </c>
      <c r="D11" s="193">
        <v>580.476096081587</v>
      </c>
      <c r="E11" s="194">
        <v>1.1884321271159</v>
      </c>
      <c r="F11" s="195">
        <v>157.91057683647199</v>
      </c>
      <c r="G11" s="196">
        <v>4.7924265685053102</v>
      </c>
    </row>
    <row r="12" spans="1:11" x14ac:dyDescent="0.2">
      <c r="A12" s="608" t="s">
        <v>296</v>
      </c>
      <c r="B12" s="609"/>
      <c r="C12" s="609"/>
      <c r="D12" s="609"/>
      <c r="E12" s="609"/>
      <c r="F12" s="609"/>
      <c r="G12" s="609"/>
    </row>
    <row r="13" spans="1:11" x14ac:dyDescent="0.2">
      <c r="A13" s="608" t="s">
        <v>45</v>
      </c>
      <c r="B13" s="609"/>
      <c r="C13" s="609"/>
      <c r="D13" s="609"/>
      <c r="E13" s="609"/>
      <c r="F13" s="609"/>
      <c r="G13" s="609"/>
    </row>
    <row r="14" spans="1:11" x14ac:dyDescent="0.2">
      <c r="A14" s="608" t="s">
        <v>297</v>
      </c>
      <c r="B14" s="609"/>
      <c r="C14" s="609"/>
      <c r="D14" s="609"/>
      <c r="E14" s="609"/>
      <c r="F14" s="609"/>
      <c r="G14" s="609"/>
    </row>
    <row r="15" spans="1:11" x14ac:dyDescent="0.2">
      <c r="A15" s="608" t="s">
        <v>298</v>
      </c>
      <c r="B15" s="609"/>
      <c r="C15" s="609"/>
      <c r="D15" s="609"/>
      <c r="E15" s="609"/>
      <c r="F15" s="609"/>
      <c r="G15" s="609"/>
    </row>
    <row r="16" spans="1:11" x14ac:dyDescent="0.2">
      <c r="A16" s="608" t="s">
        <v>923</v>
      </c>
      <c r="B16" s="609"/>
      <c r="C16" s="609"/>
      <c r="D16" s="609"/>
      <c r="E16" s="609"/>
      <c r="F16" s="609"/>
      <c r="G16" s="609"/>
    </row>
    <row r="17" spans="1:7" x14ac:dyDescent="0.2">
      <c r="A17" s="608" t="s">
        <v>299</v>
      </c>
      <c r="B17" s="609"/>
      <c r="C17" s="609"/>
      <c r="D17" s="609"/>
      <c r="E17" s="609"/>
      <c r="F17" s="609"/>
      <c r="G17" s="609"/>
    </row>
    <row r="18" spans="1:7" x14ac:dyDescent="0.2">
      <c r="A18" s="608" t="s">
        <v>300</v>
      </c>
      <c r="B18" s="609"/>
      <c r="C18" s="609"/>
      <c r="D18" s="609"/>
      <c r="E18" s="609"/>
      <c r="F18" s="609"/>
      <c r="G18" s="609"/>
    </row>
    <row r="19" spans="1:7" ht="27.75" customHeight="1" x14ac:dyDescent="0.2">
      <c r="A19" s="608" t="s">
        <v>301</v>
      </c>
      <c r="B19" s="609"/>
      <c r="C19" s="609"/>
      <c r="D19" s="609"/>
      <c r="E19" s="609"/>
      <c r="F19" s="609"/>
      <c r="G19" s="609"/>
    </row>
    <row r="20" spans="1:7" ht="24.75" customHeight="1" x14ac:dyDescent="0.2">
      <c r="A20" s="608" t="s">
        <v>302</v>
      </c>
      <c r="B20" s="609"/>
      <c r="C20" s="609"/>
      <c r="D20" s="609"/>
      <c r="E20" s="609"/>
      <c r="F20" s="609"/>
      <c r="G20" s="609"/>
    </row>
    <row r="21" spans="1:7" x14ac:dyDescent="0.2">
      <c r="A21" s="608" t="s">
        <v>45</v>
      </c>
      <c r="B21" s="609"/>
      <c r="C21" s="609"/>
      <c r="D21" s="609"/>
      <c r="E21" s="609"/>
      <c r="F21" s="609"/>
      <c r="G21" s="609"/>
    </row>
    <row r="22" spans="1:7" x14ac:dyDescent="0.2">
      <c r="A22" s="608" t="s">
        <v>303</v>
      </c>
      <c r="B22" s="609"/>
      <c r="C22" s="609"/>
      <c r="D22" s="609"/>
      <c r="E22" s="609"/>
      <c r="F22" s="609"/>
      <c r="G22" s="609"/>
    </row>
    <row r="23" spans="1:7" x14ac:dyDescent="0.2">
      <c r="A23" s="608" t="s">
        <v>304</v>
      </c>
      <c r="B23" s="609"/>
      <c r="C23" s="609"/>
      <c r="D23" s="609"/>
      <c r="E23" s="609"/>
      <c r="F23" s="609"/>
      <c r="G23" s="609"/>
    </row>
    <row r="24" spans="1:7" x14ac:dyDescent="0.2">
      <c r="A24" s="608" t="s">
        <v>305</v>
      </c>
      <c r="B24" s="609"/>
      <c r="C24" s="609"/>
      <c r="D24" s="609"/>
      <c r="E24" s="609"/>
      <c r="F24" s="609"/>
      <c r="G24" s="609"/>
    </row>
    <row r="25" spans="1:7" x14ac:dyDescent="0.2">
      <c r="A25" s="608" t="s">
        <v>306</v>
      </c>
      <c r="B25" s="609"/>
      <c r="C25" s="609"/>
      <c r="D25" s="609"/>
      <c r="E25" s="609"/>
      <c r="F25" s="609"/>
      <c r="G25" s="609"/>
    </row>
    <row r="26" spans="1:7" x14ac:dyDescent="0.2">
      <c r="A26" s="608" t="s">
        <v>307</v>
      </c>
      <c r="B26" s="609"/>
      <c r="C26" s="609"/>
      <c r="D26" s="609"/>
      <c r="E26" s="609"/>
      <c r="F26" s="609"/>
      <c r="G26" s="609"/>
    </row>
    <row r="27" spans="1:7" x14ac:dyDescent="0.2">
      <c r="A27" s="608" t="s">
        <v>45</v>
      </c>
      <c r="B27" s="609"/>
      <c r="C27" s="609"/>
      <c r="D27" s="609"/>
      <c r="E27" s="609"/>
      <c r="F27" s="609"/>
      <c r="G27" s="609"/>
    </row>
    <row r="28" spans="1:7" ht="23.25" customHeight="1" x14ac:dyDescent="0.2">
      <c r="A28" s="608" t="s">
        <v>308</v>
      </c>
      <c r="B28" s="609"/>
      <c r="C28" s="609"/>
      <c r="D28" s="609"/>
      <c r="E28" s="609"/>
      <c r="F28" s="609"/>
      <c r="G28" s="609"/>
    </row>
    <row r="29" spans="1:7" x14ac:dyDescent="0.2">
      <c r="A29" s="608" t="s">
        <v>45</v>
      </c>
      <c r="B29" s="609"/>
      <c r="C29" s="609"/>
      <c r="D29" s="609"/>
      <c r="E29" s="609"/>
      <c r="F29" s="609"/>
      <c r="G29" s="609"/>
    </row>
    <row r="30" spans="1:7" x14ac:dyDescent="0.2">
      <c r="A30" s="610" t="s">
        <v>209</v>
      </c>
      <c r="B30" s="609"/>
      <c r="C30" s="609"/>
      <c r="D30" s="609"/>
      <c r="E30" s="609"/>
      <c r="F30" s="609"/>
      <c r="G30" s="609"/>
    </row>
  </sheetData>
  <mergeCells count="21">
    <mergeCell ref="I1:K2"/>
    <mergeCell ref="A1:G1"/>
    <mergeCell ref="A12:G12"/>
    <mergeCell ref="A13:G13"/>
    <mergeCell ref="A14:G14"/>
    <mergeCell ref="A15:G15"/>
    <mergeCell ref="A16:G16"/>
    <mergeCell ref="A17:G17"/>
    <mergeCell ref="A18:G18"/>
    <mergeCell ref="A19:G19"/>
    <mergeCell ref="A20:G20"/>
    <mergeCell ref="A21:G21"/>
    <mergeCell ref="A22:G22"/>
    <mergeCell ref="A23:G23"/>
    <mergeCell ref="A24:G24"/>
    <mergeCell ref="A30:G30"/>
    <mergeCell ref="A25:G25"/>
    <mergeCell ref="A26:G26"/>
    <mergeCell ref="A27:G27"/>
    <mergeCell ref="A28:G28"/>
    <mergeCell ref="A29:G29"/>
  </mergeCells>
  <pageMargins left="0.6" right="0.79" top="0.79" bottom="1.06" header="0.3" footer="0.3"/>
  <pageSetup paperSize="9" fitToWidth="0" fitToHeight="0"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I11" sqref="I11"/>
    </sheetView>
  </sheetViews>
  <sheetFormatPr baseColWidth="10" defaultColWidth="9.140625" defaultRowHeight="12.75" x14ac:dyDescent="0.2"/>
  <cols>
    <col min="1" max="1" width="11.7109375" customWidth="1"/>
    <col min="2" max="7" width="12.7109375" customWidth="1"/>
  </cols>
  <sheetData>
    <row r="1" spans="1:11" ht="15" customHeight="1" x14ac:dyDescent="0.2">
      <c r="A1" s="612" t="s">
        <v>309</v>
      </c>
      <c r="B1" s="609"/>
      <c r="C1" s="609"/>
      <c r="D1" s="609"/>
      <c r="E1" s="609"/>
      <c r="F1" s="609"/>
      <c r="G1" s="609"/>
      <c r="I1" s="611" t="str">
        <f>HYPERLINK("#'sommaire'!A1", "Retour sommaire")</f>
        <v>Retour sommaire</v>
      </c>
      <c r="J1" s="609"/>
      <c r="K1" s="609"/>
    </row>
    <row r="2" spans="1:11" x14ac:dyDescent="0.2">
      <c r="I2" s="609"/>
      <c r="J2" s="609"/>
      <c r="K2" s="609"/>
    </row>
    <row r="3" spans="1:11" x14ac:dyDescent="0.2">
      <c r="A3" s="619" t="s">
        <v>247</v>
      </c>
      <c r="B3" s="609"/>
      <c r="C3" s="609"/>
      <c r="D3" s="609"/>
      <c r="E3" s="609"/>
      <c r="F3" s="609"/>
      <c r="G3" s="609"/>
    </row>
    <row r="4" spans="1:11" ht="76.5" x14ac:dyDescent="0.2">
      <c r="A4" s="4" t="s">
        <v>107</v>
      </c>
      <c r="B4" s="4" t="s">
        <v>289</v>
      </c>
      <c r="C4" s="4" t="s">
        <v>310</v>
      </c>
      <c r="D4" s="4" t="s">
        <v>311</v>
      </c>
      <c r="E4" s="4" t="s">
        <v>293</v>
      </c>
      <c r="F4" s="4" t="s">
        <v>294</v>
      </c>
      <c r="G4" s="4" t="s">
        <v>295</v>
      </c>
    </row>
    <row r="5" spans="1:11" ht="25.5" x14ac:dyDescent="0.2">
      <c r="A5" s="17" t="s">
        <v>108</v>
      </c>
      <c r="B5" s="208">
        <v>2272.9164664028999</v>
      </c>
      <c r="C5" s="204">
        <v>199.26926400931401</v>
      </c>
      <c r="D5" s="206"/>
      <c r="E5" s="200" t="s">
        <v>74</v>
      </c>
      <c r="F5" s="202">
        <v>204.38592842238199</v>
      </c>
      <c r="G5" s="198">
        <v>1414.3772358078099</v>
      </c>
    </row>
    <row r="6" spans="1:11" ht="25.5" x14ac:dyDescent="0.2">
      <c r="A6" s="17" t="s">
        <v>109</v>
      </c>
      <c r="B6" s="208">
        <v>414.62541145937502</v>
      </c>
      <c r="C6" s="204"/>
      <c r="D6" s="206"/>
      <c r="E6" s="200"/>
      <c r="F6" s="202" t="s">
        <v>74</v>
      </c>
      <c r="G6" s="198">
        <v>625.24376566629996</v>
      </c>
    </row>
    <row r="7" spans="1:11" ht="25.5" x14ac:dyDescent="0.2">
      <c r="A7" s="578" t="s">
        <v>110</v>
      </c>
      <c r="B7" s="579">
        <v>1669.5317866477901</v>
      </c>
      <c r="C7" s="579">
        <v>79.346285479820594</v>
      </c>
      <c r="D7" s="579"/>
      <c r="E7" s="579">
        <v>113.95841272878999</v>
      </c>
      <c r="F7" s="579" t="s">
        <v>74</v>
      </c>
      <c r="G7" s="579">
        <v>191.28751276475401</v>
      </c>
    </row>
    <row r="8" spans="1:11" ht="25.5" x14ac:dyDescent="0.2">
      <c r="A8" s="17" t="s">
        <v>111</v>
      </c>
      <c r="B8" s="208">
        <v>2217.1642352653898</v>
      </c>
      <c r="C8" s="204">
        <v>130.06998949572201</v>
      </c>
      <c r="D8" s="206" t="s">
        <v>74</v>
      </c>
      <c r="E8" s="200"/>
      <c r="F8" s="202" t="s">
        <v>74</v>
      </c>
      <c r="G8" s="198">
        <v>505.28237344733799</v>
      </c>
    </row>
    <row r="9" spans="1:11" ht="25.5" x14ac:dyDescent="0.2">
      <c r="A9" s="17" t="s">
        <v>112</v>
      </c>
      <c r="B9" s="208">
        <v>9434.1083466320706</v>
      </c>
      <c r="C9" s="204">
        <v>13650.4441944685</v>
      </c>
      <c r="D9" s="206" t="s">
        <v>74</v>
      </c>
      <c r="E9" s="200">
        <v>635.85029738106198</v>
      </c>
      <c r="F9" s="202">
        <v>761.40942839282798</v>
      </c>
      <c r="G9" s="198">
        <v>3869.8089539678299</v>
      </c>
    </row>
    <row r="10" spans="1:11" s="577" customFormat="1" ht="25.5" x14ac:dyDescent="0.2">
      <c r="A10" s="17" t="s">
        <v>113</v>
      </c>
      <c r="B10" s="208">
        <v>3396.01485407276</v>
      </c>
      <c r="C10" s="204">
        <v>62.380108882943397</v>
      </c>
      <c r="D10" s="206"/>
      <c r="E10" s="200">
        <v>17.1543588355952</v>
      </c>
      <c r="F10" s="202"/>
      <c r="G10" s="198">
        <v>706.283304730547</v>
      </c>
    </row>
    <row r="11" spans="1:11" x14ac:dyDescent="0.2">
      <c r="A11" s="17" t="s">
        <v>114</v>
      </c>
      <c r="B11" s="208">
        <v>1519.7362373389101</v>
      </c>
      <c r="C11" s="204">
        <v>158.65513509072801</v>
      </c>
      <c r="D11" s="206"/>
      <c r="E11" s="200" t="s">
        <v>74</v>
      </c>
      <c r="F11" s="202">
        <v>304.425304991666</v>
      </c>
      <c r="G11" s="198">
        <v>778.07631970583304</v>
      </c>
    </row>
    <row r="12" spans="1:11" x14ac:dyDescent="0.2">
      <c r="A12" s="6" t="s">
        <v>75</v>
      </c>
      <c r="B12" s="207">
        <v>20924.097337819199</v>
      </c>
      <c r="C12" s="203">
        <v>14280.164977427001</v>
      </c>
      <c r="D12" s="205">
        <v>3309.9286377281001</v>
      </c>
      <c r="E12" s="199">
        <v>882.97198378939197</v>
      </c>
      <c r="F12" s="201">
        <v>1317.0651029631999</v>
      </c>
      <c r="G12" s="197">
        <v>8090.35946609042</v>
      </c>
    </row>
    <row r="13" spans="1:11" x14ac:dyDescent="0.2">
      <c r="A13" s="608" t="s">
        <v>296</v>
      </c>
      <c r="B13" s="609"/>
      <c r="C13" s="609"/>
      <c r="D13" s="609"/>
      <c r="E13" s="609"/>
      <c r="F13" s="609"/>
      <c r="G13" s="609"/>
    </row>
    <row r="14" spans="1:11" x14ac:dyDescent="0.2">
      <c r="A14" s="608" t="s">
        <v>45</v>
      </c>
      <c r="B14" s="609"/>
      <c r="C14" s="609"/>
      <c r="D14" s="609"/>
      <c r="E14" s="609"/>
      <c r="F14" s="609"/>
      <c r="G14" s="609"/>
    </row>
    <row r="15" spans="1:11" x14ac:dyDescent="0.2">
      <c r="A15" s="608" t="s">
        <v>297</v>
      </c>
      <c r="B15" s="609"/>
      <c r="C15" s="609"/>
      <c r="D15" s="609"/>
      <c r="E15" s="609"/>
      <c r="F15" s="609"/>
      <c r="G15" s="609"/>
    </row>
    <row r="16" spans="1:11" x14ac:dyDescent="0.2">
      <c r="A16" s="608" t="s">
        <v>298</v>
      </c>
      <c r="B16" s="609"/>
      <c r="C16" s="609"/>
      <c r="D16" s="609"/>
      <c r="E16" s="609"/>
      <c r="F16" s="609"/>
      <c r="G16" s="609"/>
    </row>
    <row r="17" spans="1:7" x14ac:dyDescent="0.2">
      <c r="A17" s="608" t="s">
        <v>923</v>
      </c>
      <c r="B17" s="609"/>
      <c r="C17" s="609"/>
      <c r="D17" s="609"/>
      <c r="E17" s="609"/>
      <c r="F17" s="609"/>
      <c r="G17" s="609"/>
    </row>
    <row r="18" spans="1:7" ht="24.75" customHeight="1" x14ac:dyDescent="0.2">
      <c r="A18" s="608" t="s">
        <v>299</v>
      </c>
      <c r="B18" s="609"/>
      <c r="C18" s="609"/>
      <c r="D18" s="609"/>
      <c r="E18" s="609"/>
      <c r="F18" s="609"/>
      <c r="G18" s="609"/>
    </row>
    <row r="19" spans="1:7" ht="25.5" customHeight="1" x14ac:dyDescent="0.2">
      <c r="A19" s="608" t="s">
        <v>301</v>
      </c>
      <c r="B19" s="609"/>
      <c r="C19" s="609"/>
      <c r="D19" s="609"/>
      <c r="E19" s="609"/>
      <c r="F19" s="609"/>
      <c r="G19" s="609"/>
    </row>
    <row r="20" spans="1:7" x14ac:dyDescent="0.2">
      <c r="A20" s="608" t="s">
        <v>302</v>
      </c>
      <c r="B20" s="609"/>
      <c r="C20" s="609"/>
      <c r="D20" s="609"/>
      <c r="E20" s="609"/>
      <c r="F20" s="609"/>
      <c r="G20" s="609"/>
    </row>
    <row r="21" spans="1:7" x14ac:dyDescent="0.2">
      <c r="A21" s="608" t="s">
        <v>45</v>
      </c>
      <c r="B21" s="609"/>
      <c r="C21" s="609"/>
      <c r="D21" s="609"/>
      <c r="E21" s="609"/>
      <c r="F21" s="609"/>
      <c r="G21" s="609"/>
    </row>
    <row r="22" spans="1:7" x14ac:dyDescent="0.2">
      <c r="A22" s="608" t="s">
        <v>303</v>
      </c>
      <c r="B22" s="609"/>
      <c r="C22" s="609"/>
      <c r="D22" s="609"/>
      <c r="E22" s="609"/>
      <c r="F22" s="609"/>
      <c r="G22" s="609"/>
    </row>
    <row r="23" spans="1:7" x14ac:dyDescent="0.2">
      <c r="A23" s="608" t="s">
        <v>304</v>
      </c>
      <c r="B23" s="609"/>
      <c r="C23" s="609"/>
      <c r="D23" s="609"/>
      <c r="E23" s="609"/>
      <c r="F23" s="609"/>
      <c r="G23" s="609"/>
    </row>
    <row r="24" spans="1:7" x14ac:dyDescent="0.2">
      <c r="A24" s="608" t="s">
        <v>305</v>
      </c>
      <c r="B24" s="609"/>
      <c r="C24" s="609"/>
      <c r="D24" s="609"/>
      <c r="E24" s="609"/>
      <c r="F24" s="609"/>
      <c r="G24" s="609"/>
    </row>
    <row r="25" spans="1:7" ht="27" customHeight="1" x14ac:dyDescent="0.2">
      <c r="A25" s="608" t="s">
        <v>45</v>
      </c>
      <c r="B25" s="609"/>
      <c r="C25" s="609"/>
      <c r="D25" s="609"/>
      <c r="E25" s="609"/>
      <c r="F25" s="609"/>
      <c r="G25" s="609"/>
    </row>
    <row r="26" spans="1:7" x14ac:dyDescent="0.2">
      <c r="A26" s="608" t="s">
        <v>312</v>
      </c>
      <c r="B26" s="609"/>
      <c r="C26" s="609"/>
      <c r="D26" s="609"/>
      <c r="E26" s="609"/>
      <c r="F26" s="609"/>
      <c r="G26" s="609"/>
    </row>
    <row r="27" spans="1:7" x14ac:dyDescent="0.2">
      <c r="A27" s="608" t="s">
        <v>45</v>
      </c>
      <c r="B27" s="609"/>
      <c r="C27" s="609"/>
      <c r="D27" s="609"/>
      <c r="E27" s="609"/>
      <c r="F27" s="609"/>
      <c r="G27" s="609"/>
    </row>
    <row r="28" spans="1:7" x14ac:dyDescent="0.2">
      <c r="A28" s="610" t="s">
        <v>209</v>
      </c>
      <c r="B28" s="609"/>
      <c r="C28" s="609"/>
      <c r="D28" s="609"/>
      <c r="E28" s="609"/>
      <c r="F28" s="609"/>
      <c r="G28" s="609"/>
    </row>
  </sheetData>
  <mergeCells count="19">
    <mergeCell ref="I1:K2"/>
    <mergeCell ref="A1:G1"/>
    <mergeCell ref="A3:G3"/>
    <mergeCell ref="A13:G13"/>
    <mergeCell ref="A14:G14"/>
    <mergeCell ref="A15:G15"/>
    <mergeCell ref="A16:G16"/>
    <mergeCell ref="A17:G17"/>
    <mergeCell ref="A18:G18"/>
    <mergeCell ref="A19:G19"/>
    <mergeCell ref="A25:G25"/>
    <mergeCell ref="A26:G26"/>
    <mergeCell ref="A27:G27"/>
    <mergeCell ref="A28:G28"/>
    <mergeCell ref="A20:G20"/>
    <mergeCell ref="A21:G21"/>
    <mergeCell ref="A22:G22"/>
    <mergeCell ref="A23:G23"/>
    <mergeCell ref="A24:G24"/>
  </mergeCells>
  <pageMargins left="0.6" right="0.79" top="0.79" bottom="1.06" header="0.3" footer="0.3"/>
  <pageSetup paperSize="9" fitToWidth="0" fitToHeight="0"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election activeCell="J1" sqref="J1:L2"/>
    </sheetView>
  </sheetViews>
  <sheetFormatPr baseColWidth="10" defaultColWidth="9.140625" defaultRowHeight="12.75" x14ac:dyDescent="0.2"/>
  <cols>
    <col min="1" max="1" width="13.7109375" customWidth="1"/>
    <col min="2" max="3" width="10.7109375" customWidth="1"/>
    <col min="4" max="5" width="9.7109375" customWidth="1"/>
    <col min="6" max="6" width="10.7109375" customWidth="1"/>
    <col min="7" max="8" width="11.7109375" customWidth="1"/>
  </cols>
  <sheetData>
    <row r="1" spans="1:12" ht="15" customHeight="1" x14ac:dyDescent="0.2">
      <c r="A1" s="612" t="s">
        <v>313</v>
      </c>
      <c r="B1" s="609"/>
      <c r="C1" s="609"/>
      <c r="D1" s="609"/>
      <c r="E1" s="609"/>
      <c r="F1" s="609"/>
      <c r="G1" s="609"/>
      <c r="H1" s="609"/>
      <c r="J1" s="611" t="str">
        <f>HYPERLINK("#'sommaire'!A1", "Retour sommaire")</f>
        <v>Retour sommaire</v>
      </c>
      <c r="K1" s="609"/>
      <c r="L1" s="609"/>
    </row>
    <row r="2" spans="1:12" x14ac:dyDescent="0.2">
      <c r="J2" s="609"/>
      <c r="K2" s="609"/>
      <c r="L2" s="609"/>
    </row>
    <row r="3" spans="1:12" x14ac:dyDescent="0.2">
      <c r="A3" s="619" t="s">
        <v>247</v>
      </c>
      <c r="B3" s="609"/>
      <c r="C3" s="609"/>
      <c r="D3" s="609"/>
      <c r="E3" s="609"/>
      <c r="F3" s="609"/>
      <c r="G3" s="609"/>
      <c r="H3" s="609"/>
    </row>
    <row r="4" spans="1:12" ht="102" x14ac:dyDescent="0.2">
      <c r="A4" s="4" t="s">
        <v>107</v>
      </c>
      <c r="B4" s="4" t="s">
        <v>289</v>
      </c>
      <c r="C4" s="4" t="s">
        <v>314</v>
      </c>
      <c r="D4" s="4" t="s">
        <v>291</v>
      </c>
      <c r="E4" s="4" t="s">
        <v>315</v>
      </c>
      <c r="F4" s="4" t="s">
        <v>293</v>
      </c>
      <c r="G4" s="4" t="s">
        <v>294</v>
      </c>
      <c r="H4" s="4" t="s">
        <v>295</v>
      </c>
    </row>
    <row r="5" spans="1:12" ht="25.5" x14ac:dyDescent="0.2">
      <c r="A5" s="17" t="s">
        <v>108</v>
      </c>
      <c r="B5" s="220">
        <v>632.27154588696806</v>
      </c>
      <c r="C5" s="216">
        <v>1386.57062269791</v>
      </c>
      <c r="D5" s="222">
        <v>8531.8386866077308</v>
      </c>
      <c r="E5" s="218" t="s">
        <v>74</v>
      </c>
      <c r="F5" s="212" t="s">
        <v>74</v>
      </c>
      <c r="G5" s="214" t="s">
        <v>74</v>
      </c>
      <c r="H5" s="210">
        <v>348.93722886929498</v>
      </c>
    </row>
    <row r="6" spans="1:12" x14ac:dyDescent="0.2">
      <c r="A6" s="578" t="s">
        <v>109</v>
      </c>
      <c r="B6" s="579">
        <v>193.79007611959599</v>
      </c>
      <c r="C6" s="579">
        <v>7982.5413444946698</v>
      </c>
      <c r="D6" s="579">
        <v>6638.3934871855899</v>
      </c>
      <c r="E6" s="579" t="s">
        <v>74</v>
      </c>
      <c r="F6" s="579">
        <v>534.73754878775298</v>
      </c>
      <c r="G6" s="579"/>
      <c r="H6" s="579"/>
    </row>
    <row r="7" spans="1:12" x14ac:dyDescent="0.2">
      <c r="A7" s="17" t="s">
        <v>110</v>
      </c>
      <c r="B7" s="220">
        <v>368.16295656590398</v>
      </c>
      <c r="C7" s="216">
        <v>56.4019510142858</v>
      </c>
      <c r="D7" s="222">
        <v>2957.7973633584402</v>
      </c>
      <c r="E7" s="218">
        <v>117.213450370846</v>
      </c>
      <c r="F7" s="212" t="s">
        <v>74</v>
      </c>
      <c r="G7" s="214"/>
      <c r="H7" s="210" t="s">
        <v>74</v>
      </c>
    </row>
    <row r="8" spans="1:12" ht="25.5" x14ac:dyDescent="0.2">
      <c r="A8" s="17" t="s">
        <v>111</v>
      </c>
      <c r="B8" s="220">
        <v>22.510829682697299</v>
      </c>
      <c r="C8" s="216" t="s">
        <v>74</v>
      </c>
      <c r="D8" s="222">
        <v>2808.4771981358999</v>
      </c>
      <c r="E8" s="218"/>
      <c r="F8" s="212"/>
      <c r="G8" s="214"/>
      <c r="H8" s="210" t="s">
        <v>74</v>
      </c>
    </row>
    <row r="9" spans="1:12" ht="25.5" x14ac:dyDescent="0.2">
      <c r="A9" s="17" t="s">
        <v>112</v>
      </c>
      <c r="B9" s="220">
        <v>130.38342204051099</v>
      </c>
      <c r="C9" s="216">
        <v>249.616321080511</v>
      </c>
      <c r="D9" s="222">
        <v>3849.7687705827602</v>
      </c>
      <c r="E9" s="218">
        <v>104.00717806798301</v>
      </c>
      <c r="F9" s="212" t="s">
        <v>74</v>
      </c>
      <c r="G9" s="214" t="s">
        <v>74</v>
      </c>
      <c r="H9" s="210" t="s">
        <v>74</v>
      </c>
    </row>
    <row r="10" spans="1:12" x14ac:dyDescent="0.2">
      <c r="A10" s="17" t="s">
        <v>114</v>
      </c>
      <c r="B10" s="220">
        <v>349.21290919025802</v>
      </c>
      <c r="C10" s="216" t="s">
        <v>74</v>
      </c>
      <c r="D10" s="222"/>
      <c r="E10" s="218"/>
      <c r="F10" s="212">
        <v>32.031253300422897</v>
      </c>
      <c r="G10" s="214">
        <v>42.622018936762601</v>
      </c>
      <c r="H10" s="210">
        <v>216.709457166389</v>
      </c>
    </row>
    <row r="11" spans="1:12" x14ac:dyDescent="0.2">
      <c r="A11" s="6" t="s">
        <v>75</v>
      </c>
      <c r="B11" s="219">
        <v>1696.33173948594</v>
      </c>
      <c r="C11" s="215">
        <v>9760.3343462460907</v>
      </c>
      <c r="D11" s="221">
        <v>24786.275505870399</v>
      </c>
      <c r="E11" s="217">
        <v>382.90150871001202</v>
      </c>
      <c r="F11" s="211">
        <v>1666.22145408955</v>
      </c>
      <c r="G11" s="213">
        <v>224.230535700665</v>
      </c>
      <c r="H11" s="209">
        <v>580.476096081587</v>
      </c>
    </row>
    <row r="12" spans="1:12" x14ac:dyDescent="0.2">
      <c r="A12" s="608" t="s">
        <v>296</v>
      </c>
      <c r="B12" s="609"/>
      <c r="C12" s="609"/>
      <c r="D12" s="609"/>
      <c r="E12" s="609"/>
      <c r="F12" s="609"/>
      <c r="G12" s="609"/>
      <c r="H12" s="609"/>
    </row>
    <row r="13" spans="1:12" x14ac:dyDescent="0.2">
      <c r="A13" s="608" t="s">
        <v>45</v>
      </c>
      <c r="B13" s="609"/>
      <c r="C13" s="609"/>
      <c r="D13" s="609"/>
      <c r="E13" s="609"/>
      <c r="F13" s="609"/>
      <c r="G13" s="609"/>
      <c r="H13" s="609"/>
    </row>
    <row r="14" spans="1:12" x14ac:dyDescent="0.2">
      <c r="A14" s="608" t="s">
        <v>297</v>
      </c>
      <c r="B14" s="609"/>
      <c r="C14" s="609"/>
      <c r="D14" s="609"/>
      <c r="E14" s="609"/>
      <c r="F14" s="609"/>
      <c r="G14" s="609"/>
      <c r="H14" s="609"/>
    </row>
    <row r="15" spans="1:12" x14ac:dyDescent="0.2">
      <c r="A15" s="608" t="s">
        <v>298</v>
      </c>
      <c r="B15" s="609"/>
      <c r="C15" s="609"/>
      <c r="D15" s="609"/>
      <c r="E15" s="609"/>
      <c r="F15" s="609"/>
      <c r="G15" s="609"/>
      <c r="H15" s="609"/>
    </row>
    <row r="16" spans="1:12" x14ac:dyDescent="0.2">
      <c r="A16" s="629" t="s">
        <v>923</v>
      </c>
      <c r="B16" s="609"/>
      <c r="C16" s="609"/>
      <c r="D16" s="609"/>
      <c r="E16" s="609"/>
      <c r="F16" s="609"/>
      <c r="G16" s="609"/>
      <c r="H16" s="609"/>
    </row>
    <row r="17" spans="1:8" x14ac:dyDescent="0.2">
      <c r="A17" s="608" t="s">
        <v>299</v>
      </c>
      <c r="B17" s="609"/>
      <c r="C17" s="609"/>
      <c r="D17" s="609"/>
      <c r="E17" s="609"/>
      <c r="F17" s="609"/>
      <c r="G17" s="609"/>
      <c r="H17" s="609"/>
    </row>
    <row r="18" spans="1:8" ht="25.5" customHeight="1" x14ac:dyDescent="0.2">
      <c r="A18" s="608" t="s">
        <v>300</v>
      </c>
      <c r="B18" s="609"/>
      <c r="C18" s="609"/>
      <c r="D18" s="609"/>
      <c r="E18" s="609"/>
      <c r="F18" s="609"/>
      <c r="G18" s="609"/>
      <c r="H18" s="609"/>
    </row>
    <row r="19" spans="1:8" ht="27.75" customHeight="1" x14ac:dyDescent="0.2">
      <c r="A19" s="608" t="s">
        <v>301</v>
      </c>
      <c r="B19" s="609"/>
      <c r="C19" s="609"/>
      <c r="D19" s="609"/>
      <c r="E19" s="609"/>
      <c r="F19" s="609"/>
      <c r="G19" s="609"/>
      <c r="H19" s="609"/>
    </row>
    <row r="20" spans="1:8" x14ac:dyDescent="0.2">
      <c r="A20" s="608" t="s">
        <v>302</v>
      </c>
      <c r="B20" s="609"/>
      <c r="C20" s="609"/>
      <c r="D20" s="609"/>
      <c r="E20" s="609"/>
      <c r="F20" s="609"/>
      <c r="G20" s="609"/>
      <c r="H20" s="609"/>
    </row>
    <row r="21" spans="1:8" x14ac:dyDescent="0.2">
      <c r="A21" s="608" t="s">
        <v>45</v>
      </c>
      <c r="B21" s="609"/>
      <c r="C21" s="609"/>
      <c r="D21" s="609"/>
      <c r="E21" s="609"/>
      <c r="F21" s="609"/>
      <c r="G21" s="609"/>
      <c r="H21" s="609"/>
    </row>
    <row r="22" spans="1:8" x14ac:dyDescent="0.2">
      <c r="A22" s="608" t="s">
        <v>303</v>
      </c>
      <c r="B22" s="609"/>
      <c r="C22" s="609"/>
      <c r="D22" s="609"/>
      <c r="E22" s="609"/>
      <c r="F22" s="609"/>
      <c r="G22" s="609"/>
      <c r="H22" s="609"/>
    </row>
    <row r="23" spans="1:8" x14ac:dyDescent="0.2">
      <c r="A23" s="608" t="s">
        <v>306</v>
      </c>
      <c r="B23" s="609"/>
      <c r="C23" s="609"/>
      <c r="D23" s="609"/>
      <c r="E23" s="609"/>
      <c r="F23" s="609"/>
      <c r="G23" s="609"/>
      <c r="H23" s="609"/>
    </row>
    <row r="24" spans="1:8" x14ac:dyDescent="0.2">
      <c r="A24" s="608" t="s">
        <v>307</v>
      </c>
      <c r="B24" s="609"/>
      <c r="C24" s="609"/>
      <c r="D24" s="609"/>
      <c r="E24" s="609"/>
      <c r="F24" s="609"/>
      <c r="G24" s="609"/>
      <c r="H24" s="609"/>
    </row>
    <row r="25" spans="1:8" ht="27.75" customHeight="1" x14ac:dyDescent="0.2">
      <c r="A25" s="608" t="s">
        <v>45</v>
      </c>
      <c r="B25" s="609"/>
      <c r="C25" s="609"/>
      <c r="D25" s="609"/>
      <c r="E25" s="609"/>
      <c r="F25" s="609"/>
      <c r="G25" s="609"/>
      <c r="H25" s="609"/>
    </row>
    <row r="26" spans="1:8" x14ac:dyDescent="0.2">
      <c r="A26" s="608" t="s">
        <v>316</v>
      </c>
      <c r="B26" s="609"/>
      <c r="C26" s="609"/>
      <c r="D26" s="609"/>
      <c r="E26" s="609"/>
      <c r="F26" s="609"/>
      <c r="G26" s="609"/>
      <c r="H26" s="609"/>
    </row>
    <row r="27" spans="1:8" x14ac:dyDescent="0.2">
      <c r="A27" s="608" t="s">
        <v>45</v>
      </c>
      <c r="B27" s="609"/>
      <c r="C27" s="609"/>
      <c r="D27" s="609"/>
      <c r="E27" s="609"/>
      <c r="F27" s="609"/>
      <c r="G27" s="609"/>
      <c r="H27" s="609"/>
    </row>
    <row r="28" spans="1:8" x14ac:dyDescent="0.2">
      <c r="A28" s="610" t="s">
        <v>209</v>
      </c>
      <c r="B28" s="609"/>
      <c r="C28" s="609"/>
      <c r="D28" s="609"/>
      <c r="E28" s="609"/>
      <c r="F28" s="609"/>
      <c r="G28" s="609"/>
      <c r="H28" s="609"/>
    </row>
  </sheetData>
  <mergeCells count="20">
    <mergeCell ref="J1:L2"/>
    <mergeCell ref="A1:H1"/>
    <mergeCell ref="A3:H3"/>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s>
  <pageMargins left="0.6" right="0.79" top="0.79" bottom="1.06" header="0.3" footer="0.3"/>
  <pageSetup paperSize="9" fitToWidth="0" fitToHeight="0"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workbookViewId="0">
      <selection activeCell="L1" sqref="L1:N2"/>
    </sheetView>
  </sheetViews>
  <sheetFormatPr baseColWidth="10" defaultColWidth="5" defaultRowHeight="12.75" x14ac:dyDescent="0.2"/>
  <cols>
    <col min="1" max="1" width="6.7109375" customWidth="1"/>
    <col min="2" max="2" width="8.7109375" customWidth="1"/>
    <col min="3" max="3" width="6.7109375" customWidth="1"/>
    <col min="4" max="6" width="8.7109375" customWidth="1"/>
    <col min="7" max="7" width="7.7109375" customWidth="1"/>
    <col min="8" max="8" width="8.7109375" customWidth="1"/>
    <col min="9" max="10" width="7.7109375" customWidth="1"/>
    <col min="11" max="11" width="8.7109375" customWidth="1"/>
    <col min="14" max="14" width="8.28515625" customWidth="1"/>
  </cols>
  <sheetData>
    <row r="1" spans="1:14" ht="42.75" customHeight="1" x14ac:dyDescent="0.2">
      <c r="A1" s="612" t="s">
        <v>317</v>
      </c>
      <c r="B1" s="612"/>
      <c r="C1" s="612"/>
      <c r="D1" s="612"/>
      <c r="E1" s="612"/>
      <c r="F1" s="612"/>
      <c r="G1" s="612"/>
      <c r="H1" s="612"/>
      <c r="I1" s="612"/>
      <c r="J1" s="612"/>
      <c r="K1" s="643"/>
      <c r="L1" s="611" t="str">
        <f>HYPERLINK("#'sommaire'!A1", "Retour sommaire")</f>
        <v>Retour sommaire</v>
      </c>
      <c r="M1" s="609"/>
      <c r="N1" s="609"/>
    </row>
    <row r="2" spans="1:14" x14ac:dyDescent="0.2">
      <c r="L2" s="609"/>
      <c r="M2" s="609"/>
      <c r="N2" s="609"/>
    </row>
    <row r="3" spans="1:14" x14ac:dyDescent="0.2">
      <c r="A3" s="602"/>
      <c r="B3" s="602"/>
      <c r="C3" s="639" t="s">
        <v>247</v>
      </c>
      <c r="D3" s="639"/>
      <c r="E3" s="639"/>
      <c r="F3" s="639"/>
      <c r="G3" s="639"/>
      <c r="H3" s="639"/>
      <c r="I3" s="639"/>
      <c r="J3" s="639"/>
      <c r="K3" s="639"/>
    </row>
    <row r="4" spans="1:14" ht="25.5" x14ac:dyDescent="0.2">
      <c r="A4" s="640"/>
      <c r="B4" s="641"/>
      <c r="C4" s="642"/>
      <c r="D4" s="4" t="s">
        <v>1021</v>
      </c>
      <c r="E4" s="4" t="s">
        <v>1022</v>
      </c>
      <c r="F4" s="4" t="s">
        <v>1023</v>
      </c>
      <c r="G4" s="4" t="s">
        <v>1024</v>
      </c>
      <c r="H4" s="4" t="s">
        <v>1025</v>
      </c>
      <c r="I4" s="4" t="s">
        <v>1026</v>
      </c>
      <c r="J4" s="4" t="s">
        <v>1027</v>
      </c>
      <c r="K4" s="4" t="s">
        <v>274</v>
      </c>
    </row>
    <row r="5" spans="1:14" x14ac:dyDescent="0.2">
      <c r="A5" s="636" t="s">
        <v>318</v>
      </c>
      <c r="B5" s="637"/>
      <c r="C5" s="637"/>
      <c r="D5" s="637"/>
      <c r="E5" s="637"/>
      <c r="F5" s="637"/>
      <c r="G5" s="637"/>
      <c r="H5" s="637"/>
      <c r="I5" s="637"/>
      <c r="J5" s="637"/>
      <c r="K5" s="638"/>
    </row>
    <row r="6" spans="1:14" ht="25.5" x14ac:dyDescent="0.2">
      <c r="A6" s="630" t="s">
        <v>29</v>
      </c>
      <c r="B6" s="615" t="s">
        <v>197</v>
      </c>
      <c r="C6" s="605" t="s">
        <v>1028</v>
      </c>
      <c r="D6" s="603">
        <v>10148.8483311574</v>
      </c>
      <c r="E6" s="603">
        <v>294.04774196341998</v>
      </c>
      <c r="F6" s="603" t="s">
        <v>74</v>
      </c>
      <c r="G6" s="603" t="s">
        <v>74</v>
      </c>
      <c r="H6" s="603">
        <v>101.72094514634099</v>
      </c>
      <c r="I6" s="603" t="s">
        <v>74</v>
      </c>
      <c r="J6" s="603"/>
      <c r="K6" s="603">
        <v>10578.973231846499</v>
      </c>
    </row>
    <row r="7" spans="1:14" x14ac:dyDescent="0.2">
      <c r="A7" s="631"/>
      <c r="B7" s="616"/>
      <c r="C7" s="605" t="s">
        <v>1029</v>
      </c>
      <c r="D7" s="603">
        <v>10978.442668842599</v>
      </c>
      <c r="E7" s="603">
        <v>306.53975803658</v>
      </c>
      <c r="F7" s="603" t="s">
        <v>74</v>
      </c>
      <c r="G7" s="603" t="s">
        <v>74</v>
      </c>
      <c r="H7" s="603">
        <v>99.985054853658795</v>
      </c>
      <c r="I7" s="603" t="s">
        <v>74</v>
      </c>
      <c r="J7" s="603"/>
      <c r="K7" s="603">
        <v>11420.536768153501</v>
      </c>
    </row>
    <row r="8" spans="1:14" ht="25.5" x14ac:dyDescent="0.2">
      <c r="A8" s="632"/>
      <c r="B8" s="605" t="s">
        <v>1030</v>
      </c>
      <c r="C8" s="605" t="s">
        <v>1029</v>
      </c>
      <c r="D8" s="603">
        <v>3073.3564999999999</v>
      </c>
      <c r="E8" s="603" t="s">
        <v>74</v>
      </c>
      <c r="F8" s="603"/>
      <c r="G8" s="603" t="s">
        <v>74</v>
      </c>
      <c r="H8" s="603">
        <v>103.136</v>
      </c>
      <c r="I8" s="603"/>
      <c r="J8" s="603"/>
      <c r="K8" s="603">
        <v>3518.549</v>
      </c>
    </row>
    <row r="9" spans="1:14" ht="25.5" x14ac:dyDescent="0.2">
      <c r="A9" s="633" t="s">
        <v>30</v>
      </c>
      <c r="B9" s="635" t="s">
        <v>197</v>
      </c>
      <c r="C9" s="605" t="s">
        <v>1028</v>
      </c>
      <c r="D9" s="603">
        <v>12469.8929730036</v>
      </c>
      <c r="E9" s="603"/>
      <c r="F9" s="603"/>
      <c r="G9" s="603"/>
      <c r="H9" s="603"/>
      <c r="I9" s="603"/>
      <c r="J9" s="603"/>
      <c r="K9" s="603">
        <v>12469.8929730036</v>
      </c>
    </row>
    <row r="10" spans="1:14" x14ac:dyDescent="0.2">
      <c r="A10" s="634" t="s">
        <v>30</v>
      </c>
      <c r="B10" s="635"/>
      <c r="C10" s="605" t="s">
        <v>1029</v>
      </c>
      <c r="D10" s="603"/>
      <c r="E10" s="603"/>
      <c r="F10" s="603"/>
      <c r="G10" s="603"/>
      <c r="H10" s="603"/>
      <c r="I10" s="603"/>
      <c r="J10" s="603"/>
      <c r="K10" s="603">
        <v>1710.9490269963901</v>
      </c>
    </row>
    <row r="11" spans="1:14" ht="25.5" x14ac:dyDescent="0.2">
      <c r="A11" s="634" t="s">
        <v>30</v>
      </c>
      <c r="B11" s="605" t="s">
        <v>1030</v>
      </c>
      <c r="C11" s="605" t="s">
        <v>1029</v>
      </c>
      <c r="D11" s="603" t="s">
        <v>74</v>
      </c>
      <c r="E11" s="603"/>
      <c r="F11" s="603"/>
      <c r="G11" s="603"/>
      <c r="H11" s="603"/>
      <c r="I11" s="603"/>
      <c r="J11" s="603"/>
      <c r="K11" s="603" t="s">
        <v>74</v>
      </c>
    </row>
    <row r="12" spans="1:14" x14ac:dyDescent="0.2">
      <c r="A12" s="635" t="s">
        <v>1031</v>
      </c>
      <c r="B12" s="635"/>
      <c r="C12" s="635"/>
      <c r="D12" s="606" t="s">
        <v>74</v>
      </c>
      <c r="E12" s="603"/>
      <c r="F12" s="603" t="s">
        <v>74</v>
      </c>
      <c r="G12" s="603"/>
      <c r="H12" s="603"/>
      <c r="I12" s="603"/>
      <c r="J12" s="603"/>
      <c r="K12" s="603" t="s">
        <v>74</v>
      </c>
    </row>
    <row r="13" spans="1:14" x14ac:dyDescent="0.2">
      <c r="A13" s="635"/>
      <c r="B13" s="635"/>
      <c r="C13" s="635"/>
      <c r="D13" s="606" t="s">
        <v>74</v>
      </c>
      <c r="E13" s="603"/>
      <c r="F13" s="603" t="s">
        <v>74</v>
      </c>
      <c r="G13" s="603"/>
      <c r="H13" s="603"/>
      <c r="I13" s="603"/>
      <c r="J13" s="603"/>
      <c r="K13" s="603" t="s">
        <v>74</v>
      </c>
    </row>
    <row r="14" spans="1:14" x14ac:dyDescent="0.2">
      <c r="A14" s="636" t="s">
        <v>319</v>
      </c>
      <c r="B14" s="637"/>
      <c r="C14" s="637"/>
      <c r="D14" s="637"/>
      <c r="E14" s="637"/>
      <c r="F14" s="637"/>
      <c r="G14" s="637"/>
      <c r="H14" s="637"/>
      <c r="I14" s="637"/>
      <c r="J14" s="637"/>
      <c r="K14" s="638"/>
    </row>
    <row r="15" spans="1:14" ht="25.5" x14ac:dyDescent="0.2">
      <c r="A15" s="630" t="s">
        <v>29</v>
      </c>
      <c r="B15" s="615" t="s">
        <v>197</v>
      </c>
      <c r="C15" s="605" t="s">
        <v>1028</v>
      </c>
      <c r="D15" s="603" t="s">
        <v>74</v>
      </c>
      <c r="E15" s="603">
        <v>7279.6671075654103</v>
      </c>
      <c r="F15" s="603" t="s">
        <v>74</v>
      </c>
      <c r="G15" s="603"/>
      <c r="H15" s="603"/>
      <c r="I15" s="603"/>
      <c r="J15" s="603"/>
      <c r="K15" s="603">
        <v>7326.9022849512303</v>
      </c>
    </row>
    <row r="16" spans="1:14" x14ac:dyDescent="0.2">
      <c r="A16" s="631"/>
      <c r="B16" s="616"/>
      <c r="C16" s="605" t="s">
        <v>1029</v>
      </c>
      <c r="D16" s="603" t="s">
        <v>74</v>
      </c>
      <c r="E16" s="603">
        <v>3984.1408924345901</v>
      </c>
      <c r="F16" s="603" t="s">
        <v>74</v>
      </c>
      <c r="G16" s="603"/>
      <c r="H16" s="603"/>
      <c r="I16" s="603"/>
      <c r="J16" s="603"/>
      <c r="K16" s="603">
        <v>4009.25771504877</v>
      </c>
    </row>
    <row r="17" spans="1:11" ht="25.5" x14ac:dyDescent="0.2">
      <c r="A17" s="632"/>
      <c r="B17" s="605" t="s">
        <v>1030</v>
      </c>
      <c r="C17" s="605" t="s">
        <v>1029</v>
      </c>
      <c r="D17" s="603"/>
      <c r="E17" s="603">
        <v>627.03499999999997</v>
      </c>
      <c r="F17" s="603"/>
      <c r="G17" s="603"/>
      <c r="H17" s="603"/>
      <c r="I17" s="603"/>
      <c r="J17" s="603"/>
      <c r="K17" s="603">
        <v>627.03499999999997</v>
      </c>
    </row>
    <row r="18" spans="1:11" ht="25.5" x14ac:dyDescent="0.2">
      <c r="A18" s="633" t="s">
        <v>30</v>
      </c>
      <c r="B18" s="635" t="s">
        <v>197</v>
      </c>
      <c r="C18" s="605" t="s">
        <v>1028</v>
      </c>
      <c r="D18" s="603">
        <v>1271.7562055494</v>
      </c>
      <c r="E18" s="603">
        <v>16777.878984051498</v>
      </c>
      <c r="F18" s="603"/>
      <c r="G18" s="603"/>
      <c r="H18" s="603"/>
      <c r="I18" s="603"/>
      <c r="J18" s="603"/>
      <c r="K18" s="603">
        <v>18049.6351896009</v>
      </c>
    </row>
    <row r="19" spans="1:11" x14ac:dyDescent="0.2">
      <c r="A19" s="634" t="s">
        <v>30</v>
      </c>
      <c r="B19" s="635"/>
      <c r="C19" s="605" t="s">
        <v>1029</v>
      </c>
      <c r="D19" s="603">
        <v>164.26079445059901</v>
      </c>
      <c r="E19" s="603">
        <v>2180.8940159485201</v>
      </c>
      <c r="F19" s="603"/>
      <c r="G19" s="603"/>
      <c r="H19" s="603"/>
      <c r="I19" s="603"/>
      <c r="J19" s="603"/>
      <c r="K19" s="603">
        <v>2345.1548103991199</v>
      </c>
    </row>
    <row r="20" spans="1:11" ht="25.5" x14ac:dyDescent="0.2">
      <c r="A20" s="634" t="s">
        <v>30</v>
      </c>
      <c r="B20" s="605" t="s">
        <v>1030</v>
      </c>
      <c r="C20" s="605" t="s">
        <v>1029</v>
      </c>
      <c r="D20" s="603" t="s">
        <v>74</v>
      </c>
      <c r="E20" s="603" t="s">
        <v>74</v>
      </c>
      <c r="F20" s="603"/>
      <c r="G20" s="603"/>
      <c r="H20" s="603" t="s">
        <v>74</v>
      </c>
      <c r="I20" s="603"/>
      <c r="J20" s="603"/>
      <c r="K20" s="603">
        <v>673</v>
      </c>
    </row>
    <row r="21" spans="1:11" x14ac:dyDescent="0.2">
      <c r="A21" s="635" t="s">
        <v>1031</v>
      </c>
      <c r="B21" s="635"/>
      <c r="C21" s="635"/>
      <c r="D21" s="603" t="s">
        <v>74</v>
      </c>
      <c r="E21" s="603">
        <v>706.19564902346394</v>
      </c>
      <c r="F21" s="603" t="s">
        <v>74</v>
      </c>
      <c r="G21" s="603"/>
      <c r="H21" s="603"/>
      <c r="I21" s="603"/>
      <c r="J21" s="603"/>
      <c r="K21" s="603">
        <v>713.52221874858697</v>
      </c>
    </row>
    <row r="22" spans="1:11" x14ac:dyDescent="0.2">
      <c r="A22" s="635"/>
      <c r="B22" s="635"/>
      <c r="C22" s="635"/>
      <c r="D22" s="603" t="s">
        <v>74</v>
      </c>
      <c r="E22" s="603">
        <v>57.103350976535999</v>
      </c>
      <c r="F22" s="603" t="s">
        <v>74</v>
      </c>
      <c r="G22" s="603"/>
      <c r="H22" s="603"/>
      <c r="I22" s="603"/>
      <c r="J22" s="603"/>
      <c r="K22" s="603">
        <v>57.695781251412797</v>
      </c>
    </row>
    <row r="23" spans="1:11" x14ac:dyDescent="0.2">
      <c r="A23" s="636" t="s">
        <v>320</v>
      </c>
      <c r="B23" s="637"/>
      <c r="C23" s="637"/>
      <c r="D23" s="637"/>
      <c r="E23" s="637"/>
      <c r="F23" s="637"/>
      <c r="G23" s="637"/>
      <c r="H23" s="637"/>
      <c r="I23" s="637"/>
      <c r="J23" s="637"/>
      <c r="K23" s="638"/>
    </row>
    <row r="24" spans="1:11" ht="25.5" x14ac:dyDescent="0.2">
      <c r="A24" s="630" t="s">
        <v>29</v>
      </c>
      <c r="B24" s="615" t="s">
        <v>197</v>
      </c>
      <c r="C24" s="605" t="s">
        <v>1028</v>
      </c>
      <c r="D24" s="603" t="s">
        <v>74</v>
      </c>
      <c r="E24" s="603">
        <v>1352.8463800437901</v>
      </c>
      <c r="F24" s="603">
        <v>7174.4089636769704</v>
      </c>
      <c r="G24" s="603">
        <v>64.784699927644596</v>
      </c>
      <c r="H24" s="603">
        <v>32.8462954796925</v>
      </c>
      <c r="I24" s="603" t="s">
        <v>74</v>
      </c>
      <c r="J24" s="603"/>
      <c r="K24" s="603">
        <v>8640.8474030676607</v>
      </c>
    </row>
    <row r="25" spans="1:11" x14ac:dyDescent="0.2">
      <c r="A25" s="631"/>
      <c r="B25" s="616"/>
      <c r="C25" s="605" t="s">
        <v>1029</v>
      </c>
      <c r="D25" s="603" t="s">
        <v>74</v>
      </c>
      <c r="E25" s="603">
        <v>1390.8929199562101</v>
      </c>
      <c r="F25" s="603">
        <v>7032.2699963230298</v>
      </c>
      <c r="G25" s="603">
        <v>62.132300072355399</v>
      </c>
      <c r="H25" s="603">
        <v>32.097444520307498</v>
      </c>
      <c r="I25" s="603" t="s">
        <v>74</v>
      </c>
      <c r="J25" s="603"/>
      <c r="K25" s="603">
        <v>8530.1315969323405</v>
      </c>
    </row>
    <row r="26" spans="1:11" ht="25.5" x14ac:dyDescent="0.2">
      <c r="A26" s="632"/>
      <c r="B26" s="605" t="s">
        <v>1030</v>
      </c>
      <c r="C26" s="605" t="s">
        <v>1029</v>
      </c>
      <c r="D26" s="603"/>
      <c r="E26" s="603"/>
      <c r="F26" s="603">
        <v>667.43100000000004</v>
      </c>
      <c r="G26" s="603"/>
      <c r="H26" s="603"/>
      <c r="I26" s="603"/>
      <c r="J26" s="603"/>
      <c r="K26" s="603">
        <v>667.43100000000004</v>
      </c>
    </row>
    <row r="27" spans="1:11" ht="25.5" x14ac:dyDescent="0.2">
      <c r="A27" s="633" t="s">
        <v>30</v>
      </c>
      <c r="B27" s="635" t="s">
        <v>197</v>
      </c>
      <c r="C27" s="605" t="s">
        <v>1028</v>
      </c>
      <c r="D27" s="603"/>
      <c r="E27" s="603" t="s">
        <v>74</v>
      </c>
      <c r="F27" s="603">
        <v>3461.47127070342</v>
      </c>
      <c r="G27" s="603" t="s">
        <v>74</v>
      </c>
      <c r="H27" s="603" t="s">
        <v>74</v>
      </c>
      <c r="I27" s="603"/>
      <c r="J27" s="603"/>
      <c r="K27" s="603">
        <v>3811.6118662703102</v>
      </c>
    </row>
    <row r="28" spans="1:11" x14ac:dyDescent="0.2">
      <c r="A28" s="634" t="s">
        <v>30</v>
      </c>
      <c r="B28" s="635"/>
      <c r="C28" s="605" t="s">
        <v>1029</v>
      </c>
      <c r="D28" s="603"/>
      <c r="E28" s="603" t="s">
        <v>74</v>
      </c>
      <c r="F28" s="603">
        <v>1306.5551692965801</v>
      </c>
      <c r="G28" s="603" t="s">
        <v>74</v>
      </c>
      <c r="H28" s="603" t="s">
        <v>74</v>
      </c>
      <c r="I28" s="603"/>
      <c r="J28" s="603"/>
      <c r="K28" s="603">
        <v>1445.6241337296899</v>
      </c>
    </row>
    <row r="29" spans="1:11" ht="25.5" x14ac:dyDescent="0.2">
      <c r="A29" s="634" t="s">
        <v>30</v>
      </c>
      <c r="B29" s="605" t="s">
        <v>1030</v>
      </c>
      <c r="C29" s="605" t="s">
        <v>1029</v>
      </c>
      <c r="D29" s="603"/>
      <c r="E29" s="603"/>
      <c r="F29" s="603">
        <v>1009.3390000000001</v>
      </c>
      <c r="G29" s="603"/>
      <c r="H29" s="603"/>
      <c r="I29" s="603"/>
      <c r="J29" s="603"/>
      <c r="K29" s="603">
        <v>1009.3390000000001</v>
      </c>
    </row>
    <row r="30" spans="1:11" x14ac:dyDescent="0.2">
      <c r="A30" s="635" t="s">
        <v>1031</v>
      </c>
      <c r="B30" s="635"/>
      <c r="C30" s="635"/>
      <c r="D30" s="603"/>
      <c r="E30" s="603" t="s">
        <v>74</v>
      </c>
      <c r="F30" s="603">
        <v>1327.14744050371</v>
      </c>
      <c r="G30" s="603" t="s">
        <v>74</v>
      </c>
      <c r="H30" s="603" t="s">
        <v>74</v>
      </c>
      <c r="I30" s="603"/>
      <c r="J30" s="603"/>
      <c r="K30" s="603">
        <v>1827.6366622253599</v>
      </c>
    </row>
    <row r="31" spans="1:11" x14ac:dyDescent="0.2">
      <c r="A31" s="635"/>
      <c r="B31" s="635"/>
      <c r="C31" s="635"/>
      <c r="D31" s="603"/>
      <c r="E31" s="603" t="s">
        <v>74</v>
      </c>
      <c r="F31" s="603">
        <v>495.521859496292</v>
      </c>
      <c r="G31" s="603" t="s">
        <v>74</v>
      </c>
      <c r="H31" s="603" t="s">
        <v>74</v>
      </c>
      <c r="I31" s="603"/>
      <c r="J31" s="603"/>
      <c r="K31" s="603">
        <v>682.39133777463599</v>
      </c>
    </row>
    <row r="32" spans="1:11" x14ac:dyDescent="0.2">
      <c r="A32" s="644" t="s">
        <v>321</v>
      </c>
      <c r="B32" s="645"/>
      <c r="C32" s="645"/>
      <c r="D32" s="645"/>
      <c r="E32" s="645"/>
      <c r="F32" s="645"/>
      <c r="G32" s="645"/>
      <c r="H32" s="645"/>
      <c r="I32" s="645"/>
      <c r="J32" s="645"/>
      <c r="K32" s="646"/>
    </row>
    <row r="33" spans="1:11" ht="25.5" x14ac:dyDescent="0.2">
      <c r="A33" s="630" t="s">
        <v>29</v>
      </c>
      <c r="B33" s="615" t="s">
        <v>197</v>
      </c>
      <c r="C33" s="605" t="s">
        <v>1028</v>
      </c>
      <c r="D33" s="603">
        <v>171.50299099011599</v>
      </c>
      <c r="E33" s="603">
        <v>1127.2001673147799</v>
      </c>
      <c r="F33" s="603">
        <v>584.39647662560606</v>
      </c>
      <c r="G33" s="603">
        <v>6009.9481983128298</v>
      </c>
      <c r="H33" s="603" t="s">
        <v>74</v>
      </c>
      <c r="I33" s="603" t="s">
        <v>74</v>
      </c>
      <c r="J33" s="603" t="s">
        <v>74</v>
      </c>
      <c r="K33" s="603">
        <v>7951.9825479233496</v>
      </c>
    </row>
    <row r="34" spans="1:11" x14ac:dyDescent="0.2">
      <c r="A34" s="631"/>
      <c r="B34" s="616"/>
      <c r="C34" s="605" t="s">
        <v>1029</v>
      </c>
      <c r="D34" s="603">
        <v>48.5070090098843</v>
      </c>
      <c r="E34" s="603">
        <v>292.67569268522402</v>
      </c>
      <c r="F34" s="603">
        <v>127.792493374394</v>
      </c>
      <c r="G34" s="603">
        <v>1411.41697168717</v>
      </c>
      <c r="H34" s="603" t="s">
        <v>74</v>
      </c>
      <c r="I34" s="603" t="s">
        <v>74</v>
      </c>
      <c r="J34" s="603" t="s">
        <v>74</v>
      </c>
      <c r="K34" s="603">
        <v>1894.01745207665</v>
      </c>
    </row>
    <row r="35" spans="1:11" ht="25.5" x14ac:dyDescent="0.2">
      <c r="A35" s="632"/>
      <c r="B35" s="605" t="s">
        <v>1030</v>
      </c>
      <c r="C35" s="605" t="s">
        <v>1029</v>
      </c>
      <c r="D35" s="603"/>
      <c r="E35" s="603" t="s">
        <v>74</v>
      </c>
      <c r="F35" s="603" t="s">
        <v>74</v>
      </c>
      <c r="G35" s="603" t="s">
        <v>74</v>
      </c>
      <c r="H35" s="603"/>
      <c r="I35" s="603"/>
      <c r="J35" s="603"/>
      <c r="K35" s="603" t="s">
        <v>74</v>
      </c>
    </row>
    <row r="36" spans="1:11" ht="25.5" x14ac:dyDescent="0.2">
      <c r="A36" s="633" t="s">
        <v>30</v>
      </c>
      <c r="B36" s="635" t="s">
        <v>197</v>
      </c>
      <c r="C36" s="605" t="s">
        <v>1028</v>
      </c>
      <c r="D36" s="603"/>
      <c r="E36" s="603" t="s">
        <v>74</v>
      </c>
      <c r="F36" s="603">
        <v>250.32815231827701</v>
      </c>
      <c r="G36" s="603">
        <v>330.04616798630798</v>
      </c>
      <c r="H36" s="603"/>
      <c r="I36" s="603"/>
      <c r="J36" s="603"/>
      <c r="K36" s="603">
        <v>3615.3712356507199</v>
      </c>
    </row>
    <row r="37" spans="1:11" x14ac:dyDescent="0.2">
      <c r="A37" s="634" t="s">
        <v>30</v>
      </c>
      <c r="B37" s="635"/>
      <c r="C37" s="605" t="s">
        <v>1029</v>
      </c>
      <c r="D37" s="603"/>
      <c r="E37" s="603" t="s">
        <v>74</v>
      </c>
      <c r="F37" s="603">
        <v>42.137847681722903</v>
      </c>
      <c r="G37" s="603">
        <v>55.743832013692298</v>
      </c>
      <c r="H37" s="603"/>
      <c r="I37" s="603"/>
      <c r="J37" s="603"/>
      <c r="K37" s="603">
        <v>635.34176434928304</v>
      </c>
    </row>
    <row r="38" spans="1:11" ht="25.5" x14ac:dyDescent="0.2">
      <c r="A38" s="634" t="s">
        <v>30</v>
      </c>
      <c r="B38" s="605" t="s">
        <v>1030</v>
      </c>
      <c r="C38" s="605" t="s">
        <v>1029</v>
      </c>
      <c r="D38" s="603"/>
      <c r="E38" s="603"/>
      <c r="F38" s="603"/>
      <c r="G38" s="603">
        <v>202</v>
      </c>
      <c r="H38" s="603"/>
      <c r="I38" s="603"/>
      <c r="J38" s="603"/>
      <c r="K38" s="603">
        <v>202</v>
      </c>
    </row>
    <row r="39" spans="1:11" x14ac:dyDescent="0.2">
      <c r="A39" s="635" t="s">
        <v>1031</v>
      </c>
      <c r="B39" s="635"/>
      <c r="C39" s="635"/>
      <c r="D39" s="603"/>
      <c r="E39" s="603"/>
      <c r="F39" s="603"/>
      <c r="G39" s="603">
        <v>72.860718876452097</v>
      </c>
      <c r="H39" s="603"/>
      <c r="I39" s="603"/>
      <c r="J39" s="603"/>
      <c r="K39" s="603">
        <v>72.860718876452097</v>
      </c>
    </row>
    <row r="40" spans="1:11" x14ac:dyDescent="0.2">
      <c r="A40" s="635"/>
      <c r="B40" s="635"/>
      <c r="C40" s="635"/>
      <c r="D40" s="603"/>
      <c r="E40" s="603"/>
      <c r="F40" s="603"/>
      <c r="G40" s="603">
        <v>46.028281123547899</v>
      </c>
      <c r="H40" s="603"/>
      <c r="I40" s="603"/>
      <c r="J40" s="603"/>
      <c r="K40" s="603">
        <v>46.028281123547899</v>
      </c>
    </row>
    <row r="41" spans="1:11" x14ac:dyDescent="0.2">
      <c r="A41" s="644" t="s">
        <v>322</v>
      </c>
      <c r="B41" s="645"/>
      <c r="C41" s="645"/>
      <c r="D41" s="645"/>
      <c r="E41" s="645"/>
      <c r="F41" s="645"/>
      <c r="G41" s="645"/>
      <c r="H41" s="645"/>
      <c r="I41" s="645"/>
      <c r="J41" s="645"/>
      <c r="K41" s="646"/>
    </row>
    <row r="42" spans="1:11" ht="25.5" x14ac:dyDescent="0.2">
      <c r="A42" s="630" t="s">
        <v>29</v>
      </c>
      <c r="B42" s="615" t="s">
        <v>197</v>
      </c>
      <c r="C42" s="605" t="s">
        <v>1028</v>
      </c>
      <c r="D42" s="603">
        <v>3313.0495527020098</v>
      </c>
      <c r="E42" s="603">
        <v>3774.2321142614201</v>
      </c>
      <c r="F42" s="603">
        <v>2659.9920157628999</v>
      </c>
      <c r="G42" s="603"/>
      <c r="H42" s="603">
        <v>34657.666900330099</v>
      </c>
      <c r="I42" s="603">
        <v>34.574364094910102</v>
      </c>
      <c r="J42" s="603"/>
      <c r="K42" s="603">
        <v>44439.5149471513</v>
      </c>
    </row>
    <row r="43" spans="1:11" x14ac:dyDescent="0.2">
      <c r="A43" s="631"/>
      <c r="B43" s="616"/>
      <c r="C43" s="605" t="s">
        <v>1029</v>
      </c>
      <c r="D43" s="603">
        <v>834.15964729798998</v>
      </c>
      <c r="E43" s="603">
        <v>987.83558573857704</v>
      </c>
      <c r="F43" s="603">
        <v>694.08839423710106</v>
      </c>
      <c r="G43" s="603"/>
      <c r="H43" s="603">
        <v>9340.5437896699405</v>
      </c>
      <c r="I43" s="603">
        <v>12.035635905089901</v>
      </c>
      <c r="J43" s="603"/>
      <c r="K43" s="603">
        <v>11868.6630528487</v>
      </c>
    </row>
    <row r="44" spans="1:11" ht="25.5" x14ac:dyDescent="0.2">
      <c r="A44" s="632"/>
      <c r="B44" s="605" t="s">
        <v>1030</v>
      </c>
      <c r="C44" s="605" t="s">
        <v>1029</v>
      </c>
      <c r="D44" s="603" t="s">
        <v>74</v>
      </c>
      <c r="E44" s="603">
        <v>52.055999999999997</v>
      </c>
      <c r="F44" s="603">
        <v>51.389800000000001</v>
      </c>
      <c r="G44" s="603" t="s">
        <v>74</v>
      </c>
      <c r="H44" s="603">
        <v>578.47820000000002</v>
      </c>
      <c r="I44" s="603"/>
      <c r="J44" s="603" t="s">
        <v>74</v>
      </c>
      <c r="K44" s="603">
        <v>700.78899999999999</v>
      </c>
    </row>
    <row r="45" spans="1:11" ht="25.5" x14ac:dyDescent="0.2">
      <c r="A45" s="633" t="s">
        <v>30</v>
      </c>
      <c r="B45" s="635" t="s">
        <v>197</v>
      </c>
      <c r="C45" s="605" t="s">
        <v>1028</v>
      </c>
      <c r="D45" s="603" t="s">
        <v>74</v>
      </c>
      <c r="E45" s="603"/>
      <c r="F45" s="603"/>
      <c r="G45" s="603" t="s">
        <v>74</v>
      </c>
      <c r="H45" s="603">
        <v>6198.0648923619201</v>
      </c>
      <c r="I45" s="603"/>
      <c r="J45" s="603"/>
      <c r="K45" s="603">
        <v>6389.9249377977203</v>
      </c>
    </row>
    <row r="46" spans="1:11" x14ac:dyDescent="0.2">
      <c r="A46" s="634" t="s">
        <v>30</v>
      </c>
      <c r="B46" s="635"/>
      <c r="C46" s="605" t="s">
        <v>1029</v>
      </c>
      <c r="D46" s="603" t="s">
        <v>74</v>
      </c>
      <c r="E46" s="603"/>
      <c r="F46" s="603"/>
      <c r="G46" s="603" t="s">
        <v>74</v>
      </c>
      <c r="H46" s="603">
        <v>2501.7521076380799</v>
      </c>
      <c r="I46" s="603"/>
      <c r="J46" s="603"/>
      <c r="K46" s="603">
        <v>2580.81106220228</v>
      </c>
    </row>
    <row r="47" spans="1:11" ht="25.5" x14ac:dyDescent="0.2">
      <c r="A47" s="634" t="s">
        <v>30</v>
      </c>
      <c r="B47" s="605" t="s">
        <v>1030</v>
      </c>
      <c r="C47" s="605" t="s">
        <v>1029</v>
      </c>
      <c r="D47" s="603"/>
      <c r="E47" s="603"/>
      <c r="F47" s="603"/>
      <c r="G47" s="603"/>
      <c r="H47" s="603">
        <v>352.52</v>
      </c>
      <c r="I47" s="603"/>
      <c r="J47" s="603"/>
      <c r="K47" s="603">
        <v>352.52</v>
      </c>
    </row>
    <row r="48" spans="1:11" x14ac:dyDescent="0.2">
      <c r="A48" s="635" t="s">
        <v>1031</v>
      </c>
      <c r="B48" s="635"/>
      <c r="C48" s="635"/>
      <c r="D48" s="603"/>
      <c r="E48" s="603"/>
      <c r="F48" s="603"/>
      <c r="G48" s="603"/>
      <c r="H48" s="603"/>
      <c r="I48" s="603"/>
      <c r="J48" s="603"/>
      <c r="K48" s="603">
        <v>232.98430816204001</v>
      </c>
    </row>
    <row r="49" spans="1:11" x14ac:dyDescent="0.2">
      <c r="A49" s="635"/>
      <c r="B49" s="635"/>
      <c r="C49" s="635"/>
      <c r="D49" s="603"/>
      <c r="E49" s="603"/>
      <c r="F49" s="603">
        <v>8.9426918379597904</v>
      </c>
      <c r="G49" s="603"/>
      <c r="H49" s="603"/>
      <c r="I49" s="603"/>
      <c r="J49" s="603"/>
      <c r="K49" s="603">
        <v>8.9426918379597904</v>
      </c>
    </row>
    <row r="50" spans="1:11" x14ac:dyDescent="0.2">
      <c r="A50" s="644" t="s">
        <v>323</v>
      </c>
      <c r="B50" s="645"/>
      <c r="C50" s="645"/>
      <c r="D50" s="645"/>
      <c r="E50" s="645"/>
      <c r="F50" s="645"/>
      <c r="G50" s="645"/>
      <c r="H50" s="645"/>
      <c r="I50" s="645"/>
      <c r="J50" s="645"/>
      <c r="K50" s="646"/>
    </row>
    <row r="51" spans="1:11" ht="25.5" x14ac:dyDescent="0.2">
      <c r="A51" s="630" t="s">
        <v>29</v>
      </c>
      <c r="B51" s="615" t="s">
        <v>197</v>
      </c>
      <c r="C51" s="605" t="s">
        <v>1028</v>
      </c>
      <c r="D51" s="603" t="s">
        <v>74</v>
      </c>
      <c r="E51" s="603" t="s">
        <v>74</v>
      </c>
      <c r="F51" s="603">
        <v>423.52820582385698</v>
      </c>
      <c r="G51" s="603"/>
      <c r="H51" s="603" t="s">
        <v>74</v>
      </c>
      <c r="I51" s="603">
        <v>6340.1041453836897</v>
      </c>
      <c r="J51" s="603" t="s">
        <v>74</v>
      </c>
      <c r="K51" s="603">
        <v>7045.9666273642097</v>
      </c>
    </row>
    <row r="52" spans="1:11" x14ac:dyDescent="0.2">
      <c r="A52" s="631"/>
      <c r="B52" s="616"/>
      <c r="C52" s="605" t="s">
        <v>1029</v>
      </c>
      <c r="D52" s="603" t="s">
        <v>74</v>
      </c>
      <c r="E52" s="603" t="s">
        <v>74</v>
      </c>
      <c r="F52" s="603">
        <v>83.5622941761428</v>
      </c>
      <c r="G52" s="603"/>
      <c r="H52" s="603" t="s">
        <v>74</v>
      </c>
      <c r="I52" s="603">
        <v>1292.0798546163101</v>
      </c>
      <c r="J52" s="603" t="s">
        <v>74</v>
      </c>
      <c r="K52" s="603">
        <v>1450.4763726357901</v>
      </c>
    </row>
    <row r="53" spans="1:11" ht="25.5" x14ac:dyDescent="0.2">
      <c r="A53" s="632"/>
      <c r="B53" s="605" t="s">
        <v>1030</v>
      </c>
      <c r="C53" s="605" t="s">
        <v>1029</v>
      </c>
      <c r="D53" s="603">
        <v>43.65</v>
      </c>
      <c r="E53" s="603">
        <v>45.65</v>
      </c>
      <c r="F53" s="603">
        <v>25.5688</v>
      </c>
      <c r="G53" s="603"/>
      <c r="H53" s="603"/>
      <c r="I53" s="603">
        <v>261.5992</v>
      </c>
      <c r="J53" s="603"/>
      <c r="K53" s="603">
        <v>376.46800000000002</v>
      </c>
    </row>
    <row r="54" spans="1:11" x14ac:dyDescent="0.2">
      <c r="A54" s="635" t="s">
        <v>1031</v>
      </c>
      <c r="B54" s="635"/>
      <c r="C54" s="635"/>
      <c r="D54" s="603"/>
      <c r="E54" s="603"/>
      <c r="F54" s="603"/>
      <c r="G54" s="603"/>
      <c r="H54" s="603"/>
      <c r="I54" s="603" t="s">
        <v>74</v>
      </c>
      <c r="J54" s="603"/>
      <c r="K54" s="603" t="s">
        <v>74</v>
      </c>
    </row>
    <row r="55" spans="1:11" x14ac:dyDescent="0.2">
      <c r="A55" s="635"/>
      <c r="B55" s="635"/>
      <c r="C55" s="635"/>
      <c r="D55" s="603"/>
      <c r="E55" s="603"/>
      <c r="F55" s="603"/>
      <c r="G55" s="603"/>
      <c r="H55" s="603"/>
      <c r="I55" s="603" t="s">
        <v>74</v>
      </c>
      <c r="J55" s="603"/>
      <c r="K55" s="603" t="s">
        <v>74</v>
      </c>
    </row>
    <row r="56" spans="1:11" x14ac:dyDescent="0.2">
      <c r="A56" s="644" t="s">
        <v>324</v>
      </c>
      <c r="B56" s="645"/>
      <c r="C56" s="645"/>
      <c r="D56" s="645"/>
      <c r="E56" s="645"/>
      <c r="F56" s="645"/>
      <c r="G56" s="645"/>
      <c r="H56" s="645"/>
      <c r="I56" s="645"/>
      <c r="J56" s="645"/>
      <c r="K56" s="646"/>
    </row>
    <row r="57" spans="1:11" ht="25.5" x14ac:dyDescent="0.2">
      <c r="A57" s="630" t="s">
        <v>29</v>
      </c>
      <c r="B57" s="615" t="s">
        <v>197</v>
      </c>
      <c r="C57" s="605" t="s">
        <v>1028</v>
      </c>
      <c r="D57" s="603" t="s">
        <v>74</v>
      </c>
      <c r="E57" s="603" t="s">
        <v>74</v>
      </c>
      <c r="F57" s="603">
        <v>154.80710960560799</v>
      </c>
      <c r="G57" s="603" t="s">
        <v>74</v>
      </c>
      <c r="H57" s="603">
        <v>169.081013889503</v>
      </c>
      <c r="I57" s="603">
        <v>232.11784848158501</v>
      </c>
      <c r="J57" s="603">
        <v>6245.0236436315199</v>
      </c>
      <c r="K57" s="603">
        <v>6962.4507280279604</v>
      </c>
    </row>
    <row r="58" spans="1:11" x14ac:dyDescent="0.2">
      <c r="A58" s="631"/>
      <c r="B58" s="616"/>
      <c r="C58" s="605" t="s">
        <v>1029</v>
      </c>
      <c r="D58" s="603" t="s">
        <v>74</v>
      </c>
      <c r="E58" s="603" t="s">
        <v>74</v>
      </c>
      <c r="F58" s="603">
        <v>71.192890394392094</v>
      </c>
      <c r="G58" s="603" t="s">
        <v>74</v>
      </c>
      <c r="H58" s="603">
        <v>76.218986110496502</v>
      </c>
      <c r="I58" s="603">
        <v>102.26115151841501</v>
      </c>
      <c r="J58" s="603">
        <v>2729.5228243684801</v>
      </c>
      <c r="K58" s="603">
        <v>3053.5447399720401</v>
      </c>
    </row>
    <row r="59" spans="1:11" ht="25.5" x14ac:dyDescent="0.2">
      <c r="A59" s="632"/>
      <c r="B59" s="605" t="s">
        <v>1032</v>
      </c>
      <c r="C59" s="605" t="s">
        <v>1029</v>
      </c>
      <c r="D59" s="603"/>
      <c r="E59" s="603"/>
      <c r="F59" s="603"/>
      <c r="G59" s="603"/>
      <c r="H59" s="603"/>
      <c r="I59" s="603"/>
      <c r="J59" s="603" t="s">
        <v>74</v>
      </c>
      <c r="K59" s="603" t="s">
        <v>74</v>
      </c>
    </row>
    <row r="60" spans="1:11" ht="25.5" x14ac:dyDescent="0.2">
      <c r="A60" s="633" t="s">
        <v>30</v>
      </c>
      <c r="B60" s="635" t="s">
        <v>197</v>
      </c>
      <c r="C60" s="605" t="s">
        <v>1028</v>
      </c>
      <c r="D60" s="603"/>
      <c r="E60" s="603"/>
      <c r="F60" s="603"/>
      <c r="G60" s="603"/>
      <c r="H60" s="603"/>
      <c r="I60" s="603"/>
      <c r="J60" s="603">
        <v>4507.4214179087403</v>
      </c>
      <c r="K60" s="603">
        <v>4507.4214179087403</v>
      </c>
    </row>
    <row r="61" spans="1:11" x14ac:dyDescent="0.2">
      <c r="A61" s="634" t="s">
        <v>30</v>
      </c>
      <c r="B61" s="635"/>
      <c r="C61" s="605" t="s">
        <v>1029</v>
      </c>
      <c r="D61" s="603"/>
      <c r="E61" s="603"/>
      <c r="F61" s="603"/>
      <c r="G61" s="603"/>
      <c r="H61" s="603"/>
      <c r="I61" s="603"/>
      <c r="J61" s="603">
        <v>973.03258209126102</v>
      </c>
      <c r="K61" s="603">
        <v>973.03258209126102</v>
      </c>
    </row>
    <row r="62" spans="1:11" ht="25.5" x14ac:dyDescent="0.2">
      <c r="A62" s="634" t="s">
        <v>30</v>
      </c>
      <c r="B62" s="605" t="s">
        <v>1032</v>
      </c>
      <c r="C62" s="605" t="s">
        <v>1029</v>
      </c>
      <c r="D62" s="603"/>
      <c r="E62" s="603"/>
      <c r="F62" s="603"/>
      <c r="G62" s="603"/>
      <c r="H62" s="603"/>
      <c r="I62" s="603"/>
      <c r="J62" s="603" t="s">
        <v>74</v>
      </c>
      <c r="K62" s="603" t="s">
        <v>74</v>
      </c>
    </row>
    <row r="63" spans="1:11" x14ac:dyDescent="0.2">
      <c r="A63" s="635" t="s">
        <v>1031</v>
      </c>
      <c r="B63" s="635"/>
      <c r="C63" s="635"/>
      <c r="D63" s="603"/>
      <c r="E63" s="603" t="s">
        <v>74</v>
      </c>
      <c r="F63" s="603">
        <v>0.77427884533378299</v>
      </c>
      <c r="G63" s="603" t="s">
        <v>74</v>
      </c>
      <c r="H63" s="603"/>
      <c r="I63" s="603">
        <v>0.12741297454859701</v>
      </c>
      <c r="J63" s="603">
        <v>46.414586428445503</v>
      </c>
      <c r="K63" s="603">
        <v>49.305880850894503</v>
      </c>
    </row>
    <row r="64" spans="1:11" x14ac:dyDescent="0.2">
      <c r="A64" s="635"/>
      <c r="B64" s="635"/>
      <c r="C64" s="635"/>
      <c r="D64" s="603"/>
      <c r="E64" s="603" t="s">
        <v>74</v>
      </c>
      <c r="F64" s="603">
        <v>1.5721154666216899E-2</v>
      </c>
      <c r="G64" s="603" t="s">
        <v>74</v>
      </c>
      <c r="H64" s="603"/>
      <c r="I64" s="603">
        <v>2.5870254514027899E-3</v>
      </c>
      <c r="J64" s="603">
        <v>0.94241357155447603</v>
      </c>
      <c r="K64" s="603">
        <v>1.00111914910554</v>
      </c>
    </row>
    <row r="65" spans="1:11" x14ac:dyDescent="0.2">
      <c r="A65" s="644" t="s">
        <v>75</v>
      </c>
      <c r="B65" s="645"/>
      <c r="C65" s="645"/>
      <c r="D65" s="645"/>
      <c r="E65" s="645"/>
      <c r="F65" s="645"/>
      <c r="G65" s="645"/>
      <c r="H65" s="645"/>
      <c r="I65" s="645"/>
      <c r="J65" s="645"/>
      <c r="K65" s="646"/>
    </row>
    <row r="66" spans="1:11" ht="25.5" x14ac:dyDescent="0.2">
      <c r="A66" s="630" t="s">
        <v>29</v>
      </c>
      <c r="B66" s="615" t="s">
        <v>197</v>
      </c>
      <c r="C66" s="605" t="s">
        <v>1028</v>
      </c>
      <c r="D66" s="603">
        <v>13865.413785982701</v>
      </c>
      <c r="E66" s="603">
        <v>14016.0900453507</v>
      </c>
      <c r="F66" s="603">
        <v>10985.1348992558</v>
      </c>
      <c r="G66" s="603">
        <v>6157.2578039393502</v>
      </c>
      <c r="H66" s="603">
        <v>34984.548900535498</v>
      </c>
      <c r="I66" s="603">
        <v>6633.6445360239504</v>
      </c>
      <c r="J66" s="603">
        <v>6304.5477992441802</v>
      </c>
      <c r="K66" s="603">
        <v>92946.637770332207</v>
      </c>
    </row>
    <row r="67" spans="1:11" x14ac:dyDescent="0.2">
      <c r="A67" s="631"/>
      <c r="B67" s="616"/>
      <c r="C67" s="605" t="s">
        <v>1029</v>
      </c>
      <c r="D67" s="603">
        <v>11955.0964140173</v>
      </c>
      <c r="E67" s="603">
        <v>7024.4528146492503</v>
      </c>
      <c r="F67" s="603">
        <v>8017.4466907441802</v>
      </c>
      <c r="G67" s="603">
        <v>1511.7506160606499</v>
      </c>
      <c r="H67" s="603">
        <v>9552.5855294645207</v>
      </c>
      <c r="I67" s="603">
        <v>1421.0769639760499</v>
      </c>
      <c r="J67" s="603">
        <v>2744.2186687558201</v>
      </c>
      <c r="K67" s="603">
        <v>42226.627697667798</v>
      </c>
    </row>
    <row r="68" spans="1:11" ht="25.5" x14ac:dyDescent="0.2">
      <c r="A68" s="632"/>
      <c r="B68" s="605" t="s">
        <v>1030</v>
      </c>
      <c r="C68" s="605" t="s">
        <v>1029</v>
      </c>
      <c r="D68" s="603" t="s">
        <v>74</v>
      </c>
      <c r="E68" s="603">
        <v>1066.357</v>
      </c>
      <c r="F68" s="603">
        <v>776.68960000000004</v>
      </c>
      <c r="G68" s="603" t="s">
        <v>74</v>
      </c>
      <c r="H68" s="603">
        <v>681.61419999999998</v>
      </c>
      <c r="I68" s="603">
        <v>261.5992</v>
      </c>
      <c r="J68" s="603" t="s">
        <v>74</v>
      </c>
      <c r="K68" s="603">
        <v>6544.8940000000002</v>
      </c>
    </row>
    <row r="69" spans="1:11" ht="25.5" x14ac:dyDescent="0.2">
      <c r="A69" s="633" t="s">
        <v>30</v>
      </c>
      <c r="B69" s="635" t="s">
        <v>197</v>
      </c>
      <c r="C69" s="605" t="s">
        <v>1028</v>
      </c>
      <c r="D69" s="603">
        <v>13837.315022721399</v>
      </c>
      <c r="E69" s="603">
        <v>17006.623916949098</v>
      </c>
      <c r="F69" s="603">
        <v>3711.79942302169</v>
      </c>
      <c r="G69" s="603">
        <v>3252.5702837960598</v>
      </c>
      <c r="H69" s="603">
        <v>6527.5672031549102</v>
      </c>
      <c r="I69" s="603"/>
      <c r="J69" s="603">
        <v>4507.9817705887599</v>
      </c>
      <c r="K69" s="603">
        <v>48843.857620231996</v>
      </c>
    </row>
    <row r="70" spans="1:11" x14ac:dyDescent="0.2">
      <c r="A70" s="634" t="s">
        <v>30</v>
      </c>
      <c r="B70" s="635"/>
      <c r="C70" s="605" t="s">
        <v>1029</v>
      </c>
      <c r="D70" s="603">
        <v>1908.9939772785799</v>
      </c>
      <c r="E70" s="603">
        <v>2233.1960830508601</v>
      </c>
      <c r="F70" s="603">
        <v>1348.69301697831</v>
      </c>
      <c r="G70" s="603">
        <v>669.49671620394395</v>
      </c>
      <c r="H70" s="603">
        <v>2557.46135684509</v>
      </c>
      <c r="I70" s="603"/>
      <c r="J70" s="603">
        <v>973.07222941124303</v>
      </c>
      <c r="K70" s="603">
        <v>9690.9133797680206</v>
      </c>
    </row>
    <row r="71" spans="1:11" ht="25.5" x14ac:dyDescent="0.2">
      <c r="A71" s="634" t="s">
        <v>30</v>
      </c>
      <c r="B71" s="605" t="s">
        <v>1030</v>
      </c>
      <c r="C71" s="605" t="s">
        <v>1029</v>
      </c>
      <c r="D71" s="603">
        <v>532</v>
      </c>
      <c r="E71" s="603" t="s">
        <v>74</v>
      </c>
      <c r="F71" s="603">
        <v>719.83900000000006</v>
      </c>
      <c r="G71" s="603">
        <v>491.5</v>
      </c>
      <c r="H71" s="603" t="s">
        <v>74</v>
      </c>
      <c r="I71" s="603"/>
      <c r="J71" s="603">
        <v>79.998000000000005</v>
      </c>
      <c r="K71" s="603">
        <v>2663.857</v>
      </c>
    </row>
    <row r="72" spans="1:11" x14ac:dyDescent="0.2">
      <c r="A72" s="635" t="s">
        <v>1031</v>
      </c>
      <c r="B72" s="635"/>
      <c r="C72" s="635"/>
      <c r="D72" s="603" t="s">
        <v>74</v>
      </c>
      <c r="E72" s="603">
        <v>714.658534839151</v>
      </c>
      <c r="F72" s="603">
        <v>1346.27735253478</v>
      </c>
      <c r="G72" s="603">
        <v>566.83027525085095</v>
      </c>
      <c r="H72" s="603">
        <v>220.511227788452</v>
      </c>
      <c r="I72" s="603" t="s">
        <v>74</v>
      </c>
      <c r="J72" s="603">
        <v>46.414586428445503</v>
      </c>
      <c r="K72" s="603">
        <v>3295.0025332515902</v>
      </c>
    </row>
    <row r="73" spans="1:11" x14ac:dyDescent="0.2">
      <c r="A73" s="635"/>
      <c r="B73" s="635"/>
      <c r="C73" s="635"/>
      <c r="D73" s="603" t="s">
        <v>74</v>
      </c>
      <c r="E73" s="603">
        <v>60.3404651608489</v>
      </c>
      <c r="F73" s="603">
        <v>496.49294746521599</v>
      </c>
      <c r="G73" s="603">
        <v>229.68372474914901</v>
      </c>
      <c r="H73" s="603">
        <v>8.4794722115483001</v>
      </c>
      <c r="I73" s="603" t="s">
        <v>74</v>
      </c>
      <c r="J73" s="603">
        <v>0.94241357155447603</v>
      </c>
      <c r="K73" s="603">
        <v>837.73346674840798</v>
      </c>
    </row>
    <row r="74" spans="1:11" ht="156.75" customHeight="1" x14ac:dyDescent="0.2">
      <c r="A74" s="647" t="s">
        <v>1033</v>
      </c>
      <c r="B74" s="647"/>
      <c r="C74" s="647"/>
      <c r="D74" s="647"/>
      <c r="E74" s="647"/>
      <c r="F74" s="647"/>
      <c r="G74" s="647"/>
      <c r="H74" s="647"/>
      <c r="I74" s="647"/>
      <c r="J74" s="647"/>
      <c r="K74" s="647"/>
    </row>
    <row r="75" spans="1:11" ht="52.5" customHeight="1" x14ac:dyDescent="0.2">
      <c r="A75" s="627" t="s">
        <v>325</v>
      </c>
      <c r="B75" s="627"/>
      <c r="C75" s="627"/>
      <c r="D75" s="627"/>
      <c r="E75" s="627"/>
      <c r="F75" s="627"/>
      <c r="G75" s="627"/>
      <c r="H75" s="627"/>
      <c r="I75" s="627"/>
      <c r="J75" s="627"/>
      <c r="K75" s="627"/>
    </row>
    <row r="76" spans="1:11" x14ac:dyDescent="0.2">
      <c r="A76" s="648" t="s">
        <v>209</v>
      </c>
      <c r="B76" s="648"/>
      <c r="C76" s="648"/>
      <c r="D76" s="648"/>
      <c r="E76" s="648"/>
      <c r="F76" s="648"/>
      <c r="G76" s="648"/>
      <c r="H76" s="648"/>
      <c r="I76" s="648"/>
      <c r="J76" s="648"/>
      <c r="K76" s="648"/>
    </row>
  </sheetData>
  <mergeCells count="53">
    <mergeCell ref="B36:B37"/>
    <mergeCell ref="A39:C40"/>
    <mergeCell ref="A41:K41"/>
    <mergeCell ref="L1:N2"/>
    <mergeCell ref="A76:K76"/>
    <mergeCell ref="A63:C64"/>
    <mergeCell ref="A65:K65"/>
    <mergeCell ref="A66:A68"/>
    <mergeCell ref="B66:B67"/>
    <mergeCell ref="A69:A71"/>
    <mergeCell ref="B69:B70"/>
    <mergeCell ref="A32:K32"/>
    <mergeCell ref="A33:A35"/>
    <mergeCell ref="A72:C73"/>
    <mergeCell ref="A74:K74"/>
    <mergeCell ref="A75:K75"/>
    <mergeCell ref="A51:A53"/>
    <mergeCell ref="B51:B52"/>
    <mergeCell ref="A54:C55"/>
    <mergeCell ref="A56:K56"/>
    <mergeCell ref="A57:A59"/>
    <mergeCell ref="B57:B58"/>
    <mergeCell ref="A60:A62"/>
    <mergeCell ref="B60:B61"/>
    <mergeCell ref="A50:K50"/>
    <mergeCell ref="B33:B34"/>
    <mergeCell ref="A36:A38"/>
    <mergeCell ref="A24:A26"/>
    <mergeCell ref="B24:B25"/>
    <mergeCell ref="A27:A29"/>
    <mergeCell ref="B27:B28"/>
    <mergeCell ref="A30:C31"/>
    <mergeCell ref="A1:K1"/>
    <mergeCell ref="A18:A20"/>
    <mergeCell ref="B18:B19"/>
    <mergeCell ref="A21:C22"/>
    <mergeCell ref="A23:K23"/>
    <mergeCell ref="C3:K3"/>
    <mergeCell ref="A4:C4"/>
    <mergeCell ref="A5:K5"/>
    <mergeCell ref="A6:A8"/>
    <mergeCell ref="B6:B7"/>
    <mergeCell ref="A9:A11"/>
    <mergeCell ref="B9:B10"/>
    <mergeCell ref="A12:C13"/>
    <mergeCell ref="A14:K14"/>
    <mergeCell ref="A15:A17"/>
    <mergeCell ref="B15:B16"/>
    <mergeCell ref="A42:A44"/>
    <mergeCell ref="B42:B43"/>
    <mergeCell ref="A45:A47"/>
    <mergeCell ref="B45:B46"/>
    <mergeCell ref="A48:C49"/>
  </mergeCells>
  <pageMargins left="0.6" right="0.79" top="0.79" bottom="1.06" header="0.3" footer="0.3"/>
  <pageSetup paperSize="9" fitToWidth="0" fitToHeight="0"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8"/>
  <sheetViews>
    <sheetView topLeftCell="A154" workbookViewId="0">
      <selection activeCell="A164" sqref="A164:D164"/>
    </sheetView>
  </sheetViews>
  <sheetFormatPr baseColWidth="10" defaultColWidth="9.140625" defaultRowHeight="12.75" x14ac:dyDescent="0.2"/>
  <cols>
    <col min="1" max="1" width="18.7109375" customWidth="1"/>
    <col min="2" max="2" width="30.7109375" customWidth="1"/>
    <col min="3" max="3" width="15.7109375" customWidth="1"/>
    <col min="4" max="4" width="20.7109375" customWidth="1"/>
  </cols>
  <sheetData>
    <row r="1" spans="1:8" ht="39" customHeight="1" x14ac:dyDescent="0.2">
      <c r="A1" s="612" t="s">
        <v>326</v>
      </c>
      <c r="B1" s="609"/>
      <c r="C1" s="609"/>
      <c r="D1" s="609"/>
      <c r="F1" s="611" t="str">
        <f>HYPERLINK("#'sommaire'!A1", "Retour sommaire")</f>
        <v>Retour sommaire</v>
      </c>
      <c r="G1" s="609"/>
      <c r="H1" s="609"/>
    </row>
    <row r="2" spans="1:8" x14ac:dyDescent="0.2">
      <c r="F2" s="609"/>
      <c r="G2" s="609"/>
      <c r="H2" s="609"/>
    </row>
    <row r="3" spans="1:8" x14ac:dyDescent="0.2">
      <c r="A3" s="619" t="s">
        <v>247</v>
      </c>
      <c r="B3" s="609"/>
      <c r="C3" s="609"/>
      <c r="D3" s="609"/>
    </row>
    <row r="4" spans="1:8" ht="25.5" x14ac:dyDescent="0.2">
      <c r="A4" s="4" t="s">
        <v>327</v>
      </c>
      <c r="B4" s="4" t="s">
        <v>328</v>
      </c>
      <c r="C4" s="4" t="s">
        <v>82</v>
      </c>
      <c r="D4" s="4" t="s">
        <v>21</v>
      </c>
    </row>
    <row r="5" spans="1:8" x14ac:dyDescent="0.2">
      <c r="A5" s="623" t="s">
        <v>329</v>
      </c>
      <c r="B5" s="623"/>
      <c r="C5" s="624"/>
      <c r="D5" s="625"/>
    </row>
    <row r="6" spans="1:8" ht="25.5" x14ac:dyDescent="0.2">
      <c r="A6" s="614" t="s">
        <v>108</v>
      </c>
      <c r="B6" s="17" t="s">
        <v>330</v>
      </c>
      <c r="C6" s="223">
        <v>23</v>
      </c>
      <c r="D6" s="224">
        <v>1480.4236800000001</v>
      </c>
    </row>
    <row r="7" spans="1:8" x14ac:dyDescent="0.2">
      <c r="A7" s="614" t="s">
        <v>108</v>
      </c>
      <c r="B7" s="17" t="s">
        <v>331</v>
      </c>
      <c r="C7" s="223">
        <v>7</v>
      </c>
      <c r="D7" s="224">
        <v>252.565</v>
      </c>
    </row>
    <row r="8" spans="1:8" x14ac:dyDescent="0.2">
      <c r="A8" s="614" t="s">
        <v>108</v>
      </c>
      <c r="B8" s="17" t="s">
        <v>332</v>
      </c>
      <c r="C8" s="223">
        <v>36</v>
      </c>
      <c r="D8" s="224">
        <v>3176.0975199999998</v>
      </c>
    </row>
    <row r="9" spans="1:8" x14ac:dyDescent="0.2">
      <c r="A9" s="614" t="s">
        <v>108</v>
      </c>
      <c r="B9" s="17" t="s">
        <v>333</v>
      </c>
      <c r="C9" s="223">
        <v>43</v>
      </c>
      <c r="D9" s="224">
        <v>3480.6635000000001</v>
      </c>
    </row>
    <row r="10" spans="1:8" x14ac:dyDescent="0.2">
      <c r="A10" s="614" t="s">
        <v>108</v>
      </c>
      <c r="B10" s="17" t="s">
        <v>334</v>
      </c>
      <c r="C10" s="223">
        <v>49</v>
      </c>
      <c r="D10" s="224">
        <v>6283.9694399999998</v>
      </c>
    </row>
    <row r="11" spans="1:8" x14ac:dyDescent="0.2">
      <c r="A11" s="614" t="s">
        <v>108</v>
      </c>
      <c r="B11" s="17" t="s">
        <v>335</v>
      </c>
      <c r="C11" s="223">
        <v>28</v>
      </c>
      <c r="D11" s="224">
        <v>1858.3414600000001</v>
      </c>
    </row>
    <row r="12" spans="1:8" x14ac:dyDescent="0.2">
      <c r="A12" s="614" t="s">
        <v>108</v>
      </c>
      <c r="B12" s="17" t="s">
        <v>336</v>
      </c>
      <c r="C12" s="223">
        <v>88</v>
      </c>
      <c r="D12" s="224">
        <v>7131.7970999999998</v>
      </c>
    </row>
    <row r="13" spans="1:8" x14ac:dyDescent="0.2">
      <c r="A13" s="614" t="s">
        <v>108</v>
      </c>
      <c r="B13" s="17" t="s">
        <v>337</v>
      </c>
      <c r="C13" s="223">
        <v>10</v>
      </c>
      <c r="D13" s="224">
        <v>340.11149999999998</v>
      </c>
    </row>
    <row r="14" spans="1:8" x14ac:dyDescent="0.2">
      <c r="A14" s="614" t="s">
        <v>108</v>
      </c>
      <c r="B14" s="17" t="s">
        <v>338</v>
      </c>
      <c r="C14" s="223">
        <v>19</v>
      </c>
      <c r="D14" s="224">
        <v>1816.5409999999999</v>
      </c>
    </row>
    <row r="15" spans="1:8" ht="25.5" x14ac:dyDescent="0.2">
      <c r="A15" s="614" t="s">
        <v>109</v>
      </c>
      <c r="B15" s="17" t="s">
        <v>339</v>
      </c>
      <c r="C15" s="223">
        <v>68</v>
      </c>
      <c r="D15" s="224">
        <v>4569.3792000000003</v>
      </c>
    </row>
    <row r="16" spans="1:8" ht="25.5" x14ac:dyDescent="0.2">
      <c r="A16" s="614" t="s">
        <v>109</v>
      </c>
      <c r="B16" s="17" t="s">
        <v>340</v>
      </c>
      <c r="C16" s="223">
        <v>20</v>
      </c>
      <c r="D16" s="224">
        <v>645.35519999999997</v>
      </c>
    </row>
    <row r="17" spans="1:4" x14ac:dyDescent="0.2">
      <c r="A17" s="614" t="s">
        <v>109</v>
      </c>
      <c r="B17" s="17" t="s">
        <v>341</v>
      </c>
      <c r="C17" s="223">
        <v>80</v>
      </c>
      <c r="D17" s="224">
        <v>5926.1958100000002</v>
      </c>
    </row>
    <row r="18" spans="1:4" x14ac:dyDescent="0.2">
      <c r="A18" s="614" t="s">
        <v>109</v>
      </c>
      <c r="B18" s="17" t="s">
        <v>342</v>
      </c>
      <c r="C18" s="223">
        <v>19</v>
      </c>
      <c r="D18" s="224">
        <v>1472.598</v>
      </c>
    </row>
    <row r="19" spans="1:4" x14ac:dyDescent="0.2">
      <c r="A19" s="614" t="s">
        <v>109</v>
      </c>
      <c r="B19" s="17" t="s">
        <v>343</v>
      </c>
      <c r="C19" s="223">
        <v>60</v>
      </c>
      <c r="D19" s="224">
        <v>6462.7996499999999</v>
      </c>
    </row>
    <row r="20" spans="1:4" x14ac:dyDescent="0.2">
      <c r="A20" s="614" t="s">
        <v>109</v>
      </c>
      <c r="B20" s="17" t="s">
        <v>344</v>
      </c>
      <c r="C20" s="223">
        <v>10</v>
      </c>
      <c r="D20" s="224">
        <v>1218.1479999999999</v>
      </c>
    </row>
    <row r="21" spans="1:4" x14ac:dyDescent="0.2">
      <c r="A21" s="614" t="s">
        <v>109</v>
      </c>
      <c r="B21" s="17" t="s">
        <v>345</v>
      </c>
      <c r="C21" s="223">
        <v>14</v>
      </c>
      <c r="D21" s="224">
        <v>401.27910000000003</v>
      </c>
    </row>
    <row r="22" spans="1:4" x14ac:dyDescent="0.2">
      <c r="A22" s="614" t="s">
        <v>109</v>
      </c>
      <c r="B22" s="17" t="s">
        <v>338</v>
      </c>
      <c r="C22" s="223">
        <v>18</v>
      </c>
      <c r="D22" s="224">
        <v>344.78789999999998</v>
      </c>
    </row>
    <row r="23" spans="1:4" x14ac:dyDescent="0.2">
      <c r="A23" s="614" t="s">
        <v>110</v>
      </c>
      <c r="B23" s="17" t="s">
        <v>346</v>
      </c>
      <c r="C23" s="223">
        <v>3</v>
      </c>
      <c r="D23" s="224">
        <v>271.5</v>
      </c>
    </row>
    <row r="24" spans="1:4" x14ac:dyDescent="0.2">
      <c r="A24" s="614" t="s">
        <v>110</v>
      </c>
      <c r="B24" s="17" t="s">
        <v>347</v>
      </c>
      <c r="C24" s="223">
        <v>12</v>
      </c>
      <c r="D24" s="224">
        <v>193.28100000000001</v>
      </c>
    </row>
    <row r="25" spans="1:4" x14ac:dyDescent="0.2">
      <c r="A25" s="614" t="s">
        <v>110</v>
      </c>
      <c r="B25" s="17" t="s">
        <v>348</v>
      </c>
      <c r="C25" s="223">
        <v>65</v>
      </c>
      <c r="D25" s="224">
        <v>1956.992</v>
      </c>
    </row>
    <row r="26" spans="1:4" x14ac:dyDescent="0.2">
      <c r="A26" s="614" t="s">
        <v>110</v>
      </c>
      <c r="B26" s="17" t="s">
        <v>349</v>
      </c>
      <c r="C26" s="223">
        <v>29</v>
      </c>
      <c r="D26" s="224">
        <v>622.81635000000006</v>
      </c>
    </row>
    <row r="27" spans="1:4" ht="25.5" x14ac:dyDescent="0.2">
      <c r="A27" s="614" t="s">
        <v>110</v>
      </c>
      <c r="B27" s="17" t="s">
        <v>350</v>
      </c>
      <c r="C27" s="223">
        <v>32</v>
      </c>
      <c r="D27" s="224">
        <v>1764.2120500000001</v>
      </c>
    </row>
    <row r="28" spans="1:4" x14ac:dyDescent="0.2">
      <c r="A28" s="614" t="s">
        <v>110</v>
      </c>
      <c r="B28" s="17" t="s">
        <v>351</v>
      </c>
      <c r="C28" s="223">
        <v>150</v>
      </c>
      <c r="D28" s="224">
        <v>8175.1047049999997</v>
      </c>
    </row>
    <row r="29" spans="1:4" x14ac:dyDescent="0.2">
      <c r="A29" s="614" t="s">
        <v>110</v>
      </c>
      <c r="B29" s="17" t="s">
        <v>352</v>
      </c>
      <c r="C29" s="223">
        <v>56</v>
      </c>
      <c r="D29" s="224">
        <v>2314.1589749999998</v>
      </c>
    </row>
    <row r="30" spans="1:4" x14ac:dyDescent="0.2">
      <c r="A30" s="614" t="s">
        <v>110</v>
      </c>
      <c r="B30" s="17" t="s">
        <v>353</v>
      </c>
      <c r="C30" s="223">
        <v>51</v>
      </c>
      <c r="D30" s="224">
        <v>2144.2757900000001</v>
      </c>
    </row>
    <row r="31" spans="1:4" x14ac:dyDescent="0.2">
      <c r="A31" s="614" t="s">
        <v>110</v>
      </c>
      <c r="B31" s="17" t="s">
        <v>354</v>
      </c>
      <c r="C31" s="223">
        <v>3</v>
      </c>
      <c r="D31" s="224">
        <v>6.891</v>
      </c>
    </row>
    <row r="32" spans="1:4" x14ac:dyDescent="0.2">
      <c r="A32" s="614" t="s">
        <v>110</v>
      </c>
      <c r="B32" s="17" t="s">
        <v>355</v>
      </c>
      <c r="C32" s="223">
        <v>10</v>
      </c>
      <c r="D32" s="224">
        <v>155.17747</v>
      </c>
    </row>
    <row r="33" spans="1:4" x14ac:dyDescent="0.2">
      <c r="A33" s="614" t="s">
        <v>110</v>
      </c>
      <c r="B33" s="17" t="s">
        <v>356</v>
      </c>
      <c r="C33" s="223">
        <v>12</v>
      </c>
      <c r="D33" s="224">
        <v>388.85825</v>
      </c>
    </row>
    <row r="34" spans="1:4" x14ac:dyDescent="0.2">
      <c r="A34" s="614" t="s">
        <v>110</v>
      </c>
      <c r="B34" s="17" t="s">
        <v>338</v>
      </c>
      <c r="C34" s="223">
        <v>44</v>
      </c>
      <c r="D34" s="224">
        <v>1009.314</v>
      </c>
    </row>
    <row r="35" spans="1:4" x14ac:dyDescent="0.2">
      <c r="A35" s="614" t="s">
        <v>111</v>
      </c>
      <c r="B35" s="17" t="s">
        <v>357</v>
      </c>
      <c r="C35" s="223">
        <v>4</v>
      </c>
      <c r="D35" s="224">
        <v>71</v>
      </c>
    </row>
    <row r="36" spans="1:4" x14ac:dyDescent="0.2">
      <c r="A36" s="614" t="s">
        <v>111</v>
      </c>
      <c r="B36" s="17" t="s">
        <v>358</v>
      </c>
      <c r="C36" s="223">
        <v>117</v>
      </c>
      <c r="D36" s="224">
        <v>4324.8049199999996</v>
      </c>
    </row>
    <row r="37" spans="1:4" x14ac:dyDescent="0.2">
      <c r="A37" s="614" t="s">
        <v>111</v>
      </c>
      <c r="B37" s="17" t="s">
        <v>359</v>
      </c>
      <c r="C37" s="223">
        <v>30</v>
      </c>
      <c r="D37" s="224">
        <v>1866.9465</v>
      </c>
    </row>
    <row r="38" spans="1:4" x14ac:dyDescent="0.2">
      <c r="A38" s="614" t="s">
        <v>111</v>
      </c>
      <c r="B38" s="17" t="s">
        <v>360</v>
      </c>
      <c r="C38" s="223">
        <v>6</v>
      </c>
      <c r="D38" s="224">
        <v>94.87</v>
      </c>
    </row>
    <row r="39" spans="1:4" x14ac:dyDescent="0.2">
      <c r="A39" s="614" t="s">
        <v>111</v>
      </c>
      <c r="B39" s="17" t="s">
        <v>361</v>
      </c>
      <c r="C39" s="223">
        <v>4</v>
      </c>
      <c r="D39" s="224">
        <v>54.84</v>
      </c>
    </row>
    <row r="40" spans="1:4" x14ac:dyDescent="0.2">
      <c r="A40" s="614" t="s">
        <v>111</v>
      </c>
      <c r="B40" s="17" t="s">
        <v>338</v>
      </c>
      <c r="C40" s="223">
        <v>32</v>
      </c>
      <c r="D40" s="224">
        <v>1256.547</v>
      </c>
    </row>
    <row r="41" spans="1:4" x14ac:dyDescent="0.2">
      <c r="A41" s="614" t="s">
        <v>112</v>
      </c>
      <c r="B41" s="17" t="s">
        <v>362</v>
      </c>
      <c r="C41" s="223">
        <v>6</v>
      </c>
      <c r="D41" s="224">
        <v>123.82314</v>
      </c>
    </row>
    <row r="42" spans="1:4" x14ac:dyDescent="0.2">
      <c r="A42" s="614" t="s">
        <v>112</v>
      </c>
      <c r="B42" s="17" t="s">
        <v>363</v>
      </c>
      <c r="C42" s="223">
        <v>102</v>
      </c>
      <c r="D42" s="224">
        <v>4624.09951</v>
      </c>
    </row>
    <row r="43" spans="1:4" x14ac:dyDescent="0.2">
      <c r="A43" s="614" t="s">
        <v>112</v>
      </c>
      <c r="B43" s="17" t="s">
        <v>364</v>
      </c>
      <c r="C43" s="223">
        <v>16</v>
      </c>
      <c r="D43" s="224">
        <v>241.81694999999999</v>
      </c>
    </row>
    <row r="44" spans="1:4" x14ac:dyDescent="0.2">
      <c r="A44" s="614" t="s">
        <v>112</v>
      </c>
      <c r="B44" s="17" t="s">
        <v>365</v>
      </c>
      <c r="C44" s="223">
        <v>413</v>
      </c>
      <c r="D44" s="224">
        <v>31624.341420000001</v>
      </c>
    </row>
    <row r="45" spans="1:4" x14ac:dyDescent="0.2">
      <c r="A45" s="614" t="s">
        <v>112</v>
      </c>
      <c r="B45" s="17" t="s">
        <v>338</v>
      </c>
      <c r="C45" s="223">
        <v>86</v>
      </c>
      <c r="D45" s="224">
        <v>7923.0534100000004</v>
      </c>
    </row>
    <row r="46" spans="1:4" x14ac:dyDescent="0.2">
      <c r="A46" s="614" t="s">
        <v>113</v>
      </c>
      <c r="B46" s="17" t="s">
        <v>366</v>
      </c>
      <c r="C46" s="223">
        <v>5</v>
      </c>
      <c r="D46" s="224">
        <v>95.2</v>
      </c>
    </row>
    <row r="47" spans="1:4" ht="25.5" x14ac:dyDescent="0.2">
      <c r="A47" s="614" t="s">
        <v>113</v>
      </c>
      <c r="B47" s="17" t="s">
        <v>367</v>
      </c>
      <c r="C47" s="223">
        <v>236</v>
      </c>
      <c r="D47" s="224">
        <v>7675.7214999999997</v>
      </c>
    </row>
    <row r="48" spans="1:4" x14ac:dyDescent="0.2">
      <c r="A48" s="614" t="s">
        <v>113</v>
      </c>
      <c r="B48" s="17" t="s">
        <v>338</v>
      </c>
      <c r="C48" s="223">
        <v>21</v>
      </c>
      <c r="D48" s="224">
        <v>283.8</v>
      </c>
    </row>
    <row r="49" spans="1:4" x14ac:dyDescent="0.2">
      <c r="A49" s="614" t="s">
        <v>114</v>
      </c>
      <c r="B49" s="17" t="s">
        <v>368</v>
      </c>
      <c r="C49" s="223">
        <v>14</v>
      </c>
      <c r="D49" s="224">
        <v>910.3</v>
      </c>
    </row>
    <row r="50" spans="1:4" ht="38.25" x14ac:dyDescent="0.2">
      <c r="A50" s="614" t="s">
        <v>114</v>
      </c>
      <c r="B50" s="17" t="s">
        <v>369</v>
      </c>
      <c r="C50" s="223">
        <v>299</v>
      </c>
      <c r="D50" s="224">
        <v>7215.2144680000001</v>
      </c>
    </row>
    <row r="51" spans="1:4" x14ac:dyDescent="0.2">
      <c r="A51" s="614" t="s">
        <v>114</v>
      </c>
      <c r="B51" s="17" t="s">
        <v>370</v>
      </c>
      <c r="C51" s="223">
        <v>15</v>
      </c>
      <c r="D51" s="224">
        <v>71</v>
      </c>
    </row>
    <row r="52" spans="1:4" x14ac:dyDescent="0.2">
      <c r="A52" s="614" t="s">
        <v>114</v>
      </c>
      <c r="B52" s="17" t="s">
        <v>371</v>
      </c>
      <c r="C52" s="223">
        <v>6</v>
      </c>
      <c r="D52" s="224">
        <v>157.62200000000001</v>
      </c>
    </row>
    <row r="53" spans="1:4" x14ac:dyDescent="0.2">
      <c r="A53" s="614" t="s">
        <v>114</v>
      </c>
      <c r="B53" s="17" t="s">
        <v>338</v>
      </c>
      <c r="C53" s="223">
        <v>42</v>
      </c>
      <c r="D53" s="224">
        <v>694.63</v>
      </c>
    </row>
    <row r="54" spans="1:4" x14ac:dyDescent="0.2">
      <c r="A54" s="623" t="s">
        <v>372</v>
      </c>
      <c r="B54" s="623"/>
      <c r="C54" s="624"/>
      <c r="D54" s="625"/>
    </row>
    <row r="55" spans="1:4" x14ac:dyDescent="0.2">
      <c r="A55" s="614" t="s">
        <v>108</v>
      </c>
      <c r="B55" s="17" t="s">
        <v>331</v>
      </c>
      <c r="C55" s="223" t="s">
        <v>74</v>
      </c>
      <c r="D55" s="224" t="s">
        <v>74</v>
      </c>
    </row>
    <row r="56" spans="1:4" x14ac:dyDescent="0.2">
      <c r="A56" s="614" t="s">
        <v>108</v>
      </c>
      <c r="B56" s="17" t="s">
        <v>373</v>
      </c>
      <c r="C56" s="223">
        <v>8</v>
      </c>
      <c r="D56" s="224">
        <v>320.2978</v>
      </c>
    </row>
    <row r="57" spans="1:4" x14ac:dyDescent="0.2">
      <c r="A57" s="614" t="s">
        <v>108</v>
      </c>
      <c r="B57" s="17" t="s">
        <v>332</v>
      </c>
      <c r="C57" s="223">
        <v>3</v>
      </c>
      <c r="D57" s="224">
        <v>46.05</v>
      </c>
    </row>
    <row r="58" spans="1:4" x14ac:dyDescent="0.2">
      <c r="A58" s="614" t="s">
        <v>108</v>
      </c>
      <c r="B58" s="17" t="s">
        <v>333</v>
      </c>
      <c r="C58" s="223">
        <v>8</v>
      </c>
      <c r="D58" s="224">
        <v>116.6172</v>
      </c>
    </row>
    <row r="59" spans="1:4" x14ac:dyDescent="0.2">
      <c r="A59" s="614" t="s">
        <v>108</v>
      </c>
      <c r="B59" s="17" t="s">
        <v>334</v>
      </c>
      <c r="C59" s="223">
        <v>7</v>
      </c>
      <c r="D59" s="224">
        <v>210.422</v>
      </c>
    </row>
    <row r="60" spans="1:4" x14ac:dyDescent="0.2">
      <c r="A60" s="614" t="s">
        <v>108</v>
      </c>
      <c r="B60" s="17" t="s">
        <v>335</v>
      </c>
      <c r="C60" s="223" t="s">
        <v>74</v>
      </c>
      <c r="D60" s="224" t="s">
        <v>74</v>
      </c>
    </row>
    <row r="61" spans="1:4" x14ac:dyDescent="0.2">
      <c r="A61" s="614" t="s">
        <v>108</v>
      </c>
      <c r="B61" s="17" t="s">
        <v>336</v>
      </c>
      <c r="C61" s="223">
        <v>24</v>
      </c>
      <c r="D61" s="224">
        <v>499.85849999999999</v>
      </c>
    </row>
    <row r="62" spans="1:4" x14ac:dyDescent="0.2">
      <c r="A62" s="614" t="s">
        <v>108</v>
      </c>
      <c r="B62" s="17" t="s">
        <v>338</v>
      </c>
      <c r="C62" s="223">
        <v>4</v>
      </c>
      <c r="D62" s="224">
        <v>72.078000000000003</v>
      </c>
    </row>
    <row r="63" spans="1:4" ht="38.25" x14ac:dyDescent="0.2">
      <c r="A63" s="614" t="s">
        <v>109</v>
      </c>
      <c r="B63" s="17" t="s">
        <v>374</v>
      </c>
      <c r="C63" s="223">
        <v>6</v>
      </c>
      <c r="D63" s="224">
        <v>53.595999999999997</v>
      </c>
    </row>
    <row r="64" spans="1:4" x14ac:dyDescent="0.2">
      <c r="A64" s="614" t="s">
        <v>109</v>
      </c>
      <c r="B64" s="17" t="s">
        <v>341</v>
      </c>
      <c r="C64" s="223">
        <v>15</v>
      </c>
      <c r="D64" s="224">
        <v>251.0455</v>
      </c>
    </row>
    <row r="65" spans="1:4" x14ac:dyDescent="0.2">
      <c r="A65" s="614" t="s">
        <v>109</v>
      </c>
      <c r="B65" s="17" t="s">
        <v>342</v>
      </c>
      <c r="C65" s="223">
        <v>4</v>
      </c>
      <c r="D65" s="224">
        <v>61.11</v>
      </c>
    </row>
    <row r="66" spans="1:4" x14ac:dyDescent="0.2">
      <c r="A66" s="614" t="s">
        <v>109</v>
      </c>
      <c r="B66" s="17" t="s">
        <v>343</v>
      </c>
      <c r="C66" s="223">
        <v>6</v>
      </c>
      <c r="D66" s="224">
        <v>38.060499999999998</v>
      </c>
    </row>
    <row r="67" spans="1:4" x14ac:dyDescent="0.2">
      <c r="A67" s="614" t="s">
        <v>109</v>
      </c>
      <c r="B67" s="17" t="s">
        <v>375</v>
      </c>
      <c r="C67" s="223">
        <v>8</v>
      </c>
      <c r="D67" s="224">
        <v>662.54499999999996</v>
      </c>
    </row>
    <row r="68" spans="1:4" x14ac:dyDescent="0.2">
      <c r="A68" s="614" t="s">
        <v>110</v>
      </c>
      <c r="B68" s="17" t="s">
        <v>376</v>
      </c>
      <c r="C68" s="223">
        <v>8</v>
      </c>
      <c r="D68" s="224">
        <v>29.183800000000002</v>
      </c>
    </row>
    <row r="69" spans="1:4" x14ac:dyDescent="0.2">
      <c r="A69" s="614" t="s">
        <v>110</v>
      </c>
      <c r="B69" s="17" t="s">
        <v>349</v>
      </c>
      <c r="C69" s="223">
        <v>6</v>
      </c>
      <c r="D69" s="224">
        <v>119.6335</v>
      </c>
    </row>
    <row r="70" spans="1:4" ht="38.25" x14ac:dyDescent="0.2">
      <c r="A70" s="614" t="s">
        <v>110</v>
      </c>
      <c r="B70" s="17" t="s">
        <v>377</v>
      </c>
      <c r="C70" s="223">
        <v>19</v>
      </c>
      <c r="D70" s="224">
        <v>327.31380000000001</v>
      </c>
    </row>
    <row r="71" spans="1:4" x14ac:dyDescent="0.2">
      <c r="A71" s="614" t="s">
        <v>110</v>
      </c>
      <c r="B71" s="17" t="s">
        <v>352</v>
      </c>
      <c r="C71" s="223">
        <v>8</v>
      </c>
      <c r="D71" s="224">
        <v>149.0915</v>
      </c>
    </row>
    <row r="72" spans="1:4" x14ac:dyDescent="0.2">
      <c r="A72" s="614" t="s">
        <v>110</v>
      </c>
      <c r="B72" s="17" t="s">
        <v>338</v>
      </c>
      <c r="C72" s="223">
        <v>3</v>
      </c>
      <c r="D72" s="224">
        <v>151.46700000000001</v>
      </c>
    </row>
    <row r="73" spans="1:4" x14ac:dyDescent="0.2">
      <c r="A73" s="614" t="s">
        <v>111</v>
      </c>
      <c r="B73" s="17" t="s">
        <v>357</v>
      </c>
      <c r="C73" s="223" t="s">
        <v>74</v>
      </c>
      <c r="D73" s="224" t="s">
        <v>74</v>
      </c>
    </row>
    <row r="74" spans="1:4" x14ac:dyDescent="0.2">
      <c r="A74" s="614" t="s">
        <v>111</v>
      </c>
      <c r="B74" s="17" t="s">
        <v>358</v>
      </c>
      <c r="C74" s="223" t="s">
        <v>74</v>
      </c>
      <c r="D74" s="224" t="s">
        <v>74</v>
      </c>
    </row>
    <row r="75" spans="1:4" x14ac:dyDescent="0.2">
      <c r="A75" s="614" t="s">
        <v>111</v>
      </c>
      <c r="B75" s="17" t="s">
        <v>359</v>
      </c>
      <c r="C75" s="223" t="s">
        <v>74</v>
      </c>
      <c r="D75" s="224" t="s">
        <v>74</v>
      </c>
    </row>
    <row r="76" spans="1:4" x14ac:dyDescent="0.2">
      <c r="A76" s="614" t="s">
        <v>111</v>
      </c>
      <c r="B76" s="17" t="s">
        <v>338</v>
      </c>
      <c r="C76" s="223" t="s">
        <v>74</v>
      </c>
      <c r="D76" s="224" t="s">
        <v>74</v>
      </c>
    </row>
    <row r="77" spans="1:4" ht="25.5" x14ac:dyDescent="0.2">
      <c r="A77" s="614" t="s">
        <v>112</v>
      </c>
      <c r="B77" s="17" t="s">
        <v>378</v>
      </c>
      <c r="C77" s="223">
        <v>17</v>
      </c>
      <c r="D77" s="224">
        <v>223.655</v>
      </c>
    </row>
    <row r="78" spans="1:4" x14ac:dyDescent="0.2">
      <c r="A78" s="614" t="s">
        <v>112</v>
      </c>
      <c r="B78" s="17" t="s">
        <v>363</v>
      </c>
      <c r="C78" s="223">
        <v>9</v>
      </c>
      <c r="D78" s="224">
        <v>104.2884</v>
      </c>
    </row>
    <row r="79" spans="1:4" x14ac:dyDescent="0.2">
      <c r="A79" s="614" t="s">
        <v>112</v>
      </c>
      <c r="B79" s="17" t="s">
        <v>365</v>
      </c>
      <c r="C79" s="223">
        <v>46</v>
      </c>
      <c r="D79" s="224">
        <v>353.67079999999999</v>
      </c>
    </row>
    <row r="80" spans="1:4" x14ac:dyDescent="0.2">
      <c r="A80" s="614" t="s">
        <v>113</v>
      </c>
      <c r="B80" s="17" t="s">
        <v>379</v>
      </c>
      <c r="C80" s="223">
        <v>31</v>
      </c>
      <c r="D80" s="224">
        <v>213.5992</v>
      </c>
    </row>
    <row r="81" spans="1:4" x14ac:dyDescent="0.2">
      <c r="A81" s="614" t="s">
        <v>113</v>
      </c>
      <c r="B81" s="17" t="s">
        <v>338</v>
      </c>
      <c r="C81" s="223">
        <v>3</v>
      </c>
      <c r="D81" s="224">
        <v>48</v>
      </c>
    </row>
    <row r="82" spans="1:4" ht="38.25" x14ac:dyDescent="0.2">
      <c r="A82" s="614" t="s">
        <v>114</v>
      </c>
      <c r="B82" s="17" t="s">
        <v>369</v>
      </c>
      <c r="C82" s="223">
        <v>11</v>
      </c>
      <c r="D82" s="224">
        <v>61.555999999999997</v>
      </c>
    </row>
    <row r="83" spans="1:4" x14ac:dyDescent="0.2">
      <c r="A83" s="614" t="s">
        <v>114</v>
      </c>
      <c r="B83" s="17" t="s">
        <v>370</v>
      </c>
      <c r="C83" s="223" t="s">
        <v>74</v>
      </c>
      <c r="D83" s="224" t="s">
        <v>74</v>
      </c>
    </row>
    <row r="84" spans="1:4" x14ac:dyDescent="0.2">
      <c r="A84" s="614" t="s">
        <v>114</v>
      </c>
      <c r="B84" s="17" t="s">
        <v>338</v>
      </c>
      <c r="C84" s="223" t="s">
        <v>74</v>
      </c>
      <c r="D84" s="224" t="s">
        <v>74</v>
      </c>
    </row>
    <row r="85" spans="1:4" x14ac:dyDescent="0.2">
      <c r="A85" s="623" t="s">
        <v>380</v>
      </c>
      <c r="B85" s="623"/>
      <c r="C85" s="624"/>
      <c r="D85" s="625"/>
    </row>
    <row r="86" spans="1:4" x14ac:dyDescent="0.2">
      <c r="A86" s="614" t="s">
        <v>108</v>
      </c>
      <c r="B86" s="17" t="s">
        <v>381</v>
      </c>
      <c r="C86" s="223">
        <v>6</v>
      </c>
      <c r="D86" s="224">
        <v>1059.7149999999999</v>
      </c>
    </row>
    <row r="87" spans="1:4" x14ac:dyDescent="0.2">
      <c r="A87" s="614" t="s">
        <v>108</v>
      </c>
      <c r="B87" s="17" t="s">
        <v>382</v>
      </c>
      <c r="C87" s="223">
        <v>12</v>
      </c>
      <c r="D87" s="224">
        <v>1441.51</v>
      </c>
    </row>
    <row r="88" spans="1:4" ht="25.5" x14ac:dyDescent="0.2">
      <c r="A88" s="614" t="s">
        <v>108</v>
      </c>
      <c r="B88" s="17" t="s">
        <v>383</v>
      </c>
      <c r="C88" s="223">
        <v>15</v>
      </c>
      <c r="D88" s="224">
        <v>768.47299999999996</v>
      </c>
    </row>
    <row r="89" spans="1:4" x14ac:dyDescent="0.2">
      <c r="A89" s="614" t="s">
        <v>108</v>
      </c>
      <c r="B89" s="17" t="s">
        <v>335</v>
      </c>
      <c r="C89" s="223">
        <v>13</v>
      </c>
      <c r="D89" s="224">
        <v>1564.317</v>
      </c>
    </row>
    <row r="90" spans="1:4" x14ac:dyDescent="0.2">
      <c r="A90" s="614" t="s">
        <v>108</v>
      </c>
      <c r="B90" s="17" t="s">
        <v>336</v>
      </c>
      <c r="C90" s="223">
        <v>37</v>
      </c>
      <c r="D90" s="224">
        <v>3977.92</v>
      </c>
    </row>
    <row r="91" spans="1:4" x14ac:dyDescent="0.2">
      <c r="A91" s="614" t="s">
        <v>108</v>
      </c>
      <c r="B91" s="17" t="s">
        <v>337</v>
      </c>
      <c r="C91" s="223">
        <v>21</v>
      </c>
      <c r="D91" s="224">
        <v>3576.68</v>
      </c>
    </row>
    <row r="92" spans="1:4" x14ac:dyDescent="0.2">
      <c r="A92" s="614" t="s">
        <v>108</v>
      </c>
      <c r="B92" s="17" t="s">
        <v>338</v>
      </c>
      <c r="C92" s="223">
        <v>17</v>
      </c>
      <c r="D92" s="224">
        <v>3357.694</v>
      </c>
    </row>
    <row r="93" spans="1:4" ht="25.5" x14ac:dyDescent="0.2">
      <c r="A93" s="614" t="s">
        <v>109</v>
      </c>
      <c r="B93" s="17" t="s">
        <v>339</v>
      </c>
      <c r="C93" s="223">
        <v>50</v>
      </c>
      <c r="D93" s="224">
        <v>10631.6327</v>
      </c>
    </row>
    <row r="94" spans="1:4" x14ac:dyDescent="0.2">
      <c r="A94" s="614" t="s">
        <v>109</v>
      </c>
      <c r="B94" s="17" t="s">
        <v>384</v>
      </c>
      <c r="C94" s="223">
        <v>16</v>
      </c>
      <c r="D94" s="224">
        <v>2161.0569999999998</v>
      </c>
    </row>
    <row r="95" spans="1:4" x14ac:dyDescent="0.2">
      <c r="A95" s="614" t="s">
        <v>109</v>
      </c>
      <c r="B95" s="17" t="s">
        <v>385</v>
      </c>
      <c r="C95" s="223">
        <v>19</v>
      </c>
      <c r="D95" s="224">
        <v>4758.4147000000003</v>
      </c>
    </row>
    <row r="96" spans="1:4" ht="25.5" x14ac:dyDescent="0.2">
      <c r="A96" s="614" t="s">
        <v>109</v>
      </c>
      <c r="B96" s="17" t="s">
        <v>386</v>
      </c>
      <c r="C96" s="223">
        <v>4</v>
      </c>
      <c r="D96" s="224">
        <v>112.35</v>
      </c>
    </row>
    <row r="97" spans="1:4" x14ac:dyDescent="0.2">
      <c r="A97" s="614" t="s">
        <v>109</v>
      </c>
      <c r="B97" s="17" t="s">
        <v>344</v>
      </c>
      <c r="C97" s="223">
        <v>4</v>
      </c>
      <c r="D97" s="224">
        <v>257.09899999999999</v>
      </c>
    </row>
    <row r="98" spans="1:4" x14ac:dyDescent="0.2">
      <c r="A98" s="614" t="s">
        <v>109</v>
      </c>
      <c r="B98" s="17" t="s">
        <v>345</v>
      </c>
      <c r="C98" s="223">
        <v>3</v>
      </c>
      <c r="D98" s="224">
        <v>394.8886</v>
      </c>
    </row>
    <row r="99" spans="1:4" x14ac:dyDescent="0.2">
      <c r="A99" s="614" t="s">
        <v>109</v>
      </c>
      <c r="B99" s="17" t="s">
        <v>338</v>
      </c>
      <c r="C99" s="223">
        <v>8</v>
      </c>
      <c r="D99" s="224">
        <v>924.37800000000004</v>
      </c>
    </row>
    <row r="100" spans="1:4" x14ac:dyDescent="0.2">
      <c r="A100" s="614" t="s">
        <v>110</v>
      </c>
      <c r="B100" s="17" t="s">
        <v>347</v>
      </c>
      <c r="C100" s="223">
        <v>4</v>
      </c>
      <c r="D100" s="224">
        <v>57.604999999999997</v>
      </c>
    </row>
    <row r="101" spans="1:4" x14ac:dyDescent="0.2">
      <c r="A101" s="614" t="s">
        <v>110</v>
      </c>
      <c r="B101" s="17" t="s">
        <v>348</v>
      </c>
      <c r="C101" s="223">
        <v>3</v>
      </c>
      <c r="D101" s="224">
        <v>4.5</v>
      </c>
    </row>
    <row r="102" spans="1:4" ht="25.5" x14ac:dyDescent="0.2">
      <c r="A102" s="614" t="s">
        <v>110</v>
      </c>
      <c r="B102" s="17" t="s">
        <v>387</v>
      </c>
      <c r="C102" s="223">
        <v>5</v>
      </c>
      <c r="D102" s="224">
        <v>17.100000000000001</v>
      </c>
    </row>
    <row r="103" spans="1:4" x14ac:dyDescent="0.2">
      <c r="A103" s="614" t="s">
        <v>110</v>
      </c>
      <c r="B103" s="17" t="s">
        <v>351</v>
      </c>
      <c r="C103" s="223">
        <v>5</v>
      </c>
      <c r="D103" s="224">
        <v>6.5194400000000003</v>
      </c>
    </row>
    <row r="104" spans="1:4" x14ac:dyDescent="0.2">
      <c r="A104" s="614" t="s">
        <v>110</v>
      </c>
      <c r="B104" s="17" t="s">
        <v>353</v>
      </c>
      <c r="C104" s="223">
        <v>4</v>
      </c>
      <c r="D104" s="224">
        <v>26.945</v>
      </c>
    </row>
    <row r="105" spans="1:4" x14ac:dyDescent="0.2">
      <c r="A105" s="614" t="s">
        <v>110</v>
      </c>
      <c r="B105" s="17" t="s">
        <v>388</v>
      </c>
      <c r="C105" s="223">
        <v>46</v>
      </c>
      <c r="D105" s="224">
        <v>3061.4645999999998</v>
      </c>
    </row>
    <row r="106" spans="1:4" x14ac:dyDescent="0.2">
      <c r="A106" s="614" t="s">
        <v>110</v>
      </c>
      <c r="B106" s="17" t="s">
        <v>389</v>
      </c>
      <c r="C106" s="223">
        <v>9</v>
      </c>
      <c r="D106" s="224">
        <v>573.27739999999994</v>
      </c>
    </row>
    <row r="107" spans="1:4" x14ac:dyDescent="0.2">
      <c r="A107" s="614" t="s">
        <v>110</v>
      </c>
      <c r="B107" s="17" t="s">
        <v>338</v>
      </c>
      <c r="C107" s="223">
        <v>21</v>
      </c>
      <c r="D107" s="224">
        <v>1313.0809999999999</v>
      </c>
    </row>
    <row r="108" spans="1:4" ht="25.5" x14ac:dyDescent="0.2">
      <c r="A108" s="614" t="s">
        <v>111</v>
      </c>
      <c r="B108" s="17" t="s">
        <v>390</v>
      </c>
      <c r="C108" s="223">
        <v>15</v>
      </c>
      <c r="D108" s="224">
        <v>1141.3599999999999</v>
      </c>
    </row>
    <row r="109" spans="1:4" x14ac:dyDescent="0.2">
      <c r="A109" s="614" t="s">
        <v>111</v>
      </c>
      <c r="B109" s="17" t="s">
        <v>359</v>
      </c>
      <c r="C109" s="223">
        <v>12</v>
      </c>
      <c r="D109" s="224">
        <v>456.01499999999999</v>
      </c>
    </row>
    <row r="110" spans="1:4" x14ac:dyDescent="0.2">
      <c r="A110" s="614" t="s">
        <v>111</v>
      </c>
      <c r="B110" s="17" t="s">
        <v>361</v>
      </c>
      <c r="C110" s="223">
        <v>9</v>
      </c>
      <c r="D110" s="224">
        <v>1239.0129999999999</v>
      </c>
    </row>
    <row r="111" spans="1:4" x14ac:dyDescent="0.2">
      <c r="A111" s="614" t="s">
        <v>111</v>
      </c>
      <c r="B111" s="17" t="s">
        <v>338</v>
      </c>
      <c r="C111" s="223">
        <v>16</v>
      </c>
      <c r="D111" s="224">
        <v>1085.6790000000001</v>
      </c>
    </row>
    <row r="112" spans="1:4" x14ac:dyDescent="0.2">
      <c r="A112" s="614" t="s">
        <v>112</v>
      </c>
      <c r="B112" s="17" t="s">
        <v>362</v>
      </c>
      <c r="C112" s="223">
        <v>30</v>
      </c>
      <c r="D112" s="224">
        <v>4811.3794239999997</v>
      </c>
    </row>
    <row r="113" spans="1:4" x14ac:dyDescent="0.2">
      <c r="A113" s="614" t="s">
        <v>112</v>
      </c>
      <c r="B113" s="17" t="s">
        <v>391</v>
      </c>
      <c r="C113" s="223">
        <v>24</v>
      </c>
      <c r="D113" s="224">
        <v>2693.8235759999998</v>
      </c>
    </row>
    <row r="114" spans="1:4" x14ac:dyDescent="0.2">
      <c r="A114" s="614" t="s">
        <v>112</v>
      </c>
      <c r="B114" s="17" t="s">
        <v>365</v>
      </c>
      <c r="C114" s="223">
        <v>20</v>
      </c>
      <c r="D114" s="224">
        <v>447.58686</v>
      </c>
    </row>
    <row r="115" spans="1:4" x14ac:dyDescent="0.2">
      <c r="A115" s="614" t="s">
        <v>112</v>
      </c>
      <c r="B115" s="17" t="s">
        <v>338</v>
      </c>
      <c r="C115" s="223">
        <v>22</v>
      </c>
      <c r="D115" s="224">
        <v>1132.2387000000001</v>
      </c>
    </row>
    <row r="116" spans="1:4" x14ac:dyDescent="0.2">
      <c r="A116" s="614" t="s">
        <v>114</v>
      </c>
      <c r="B116" s="17" t="s">
        <v>368</v>
      </c>
      <c r="C116" s="223">
        <v>5</v>
      </c>
      <c r="D116" s="224">
        <v>66.400000000000006</v>
      </c>
    </row>
    <row r="117" spans="1:4" x14ac:dyDescent="0.2">
      <c r="A117" s="614" t="s">
        <v>114</v>
      </c>
      <c r="B117" s="17" t="s">
        <v>392</v>
      </c>
      <c r="C117" s="223">
        <v>5</v>
      </c>
      <c r="D117" s="224">
        <v>599.88300000000004</v>
      </c>
    </row>
    <row r="118" spans="1:4" ht="38.25" x14ac:dyDescent="0.2">
      <c r="A118" s="614" t="s">
        <v>114</v>
      </c>
      <c r="B118" s="17" t="s">
        <v>369</v>
      </c>
      <c r="C118" s="223">
        <v>150</v>
      </c>
      <c r="D118" s="224">
        <v>2103.0100000000002</v>
      </c>
    </row>
    <row r="119" spans="1:4" ht="25.5" x14ac:dyDescent="0.2">
      <c r="A119" s="614" t="s">
        <v>114</v>
      </c>
      <c r="B119" s="17" t="s">
        <v>393</v>
      </c>
      <c r="C119" s="223">
        <v>24</v>
      </c>
      <c r="D119" s="224">
        <v>1160.2260000000001</v>
      </c>
    </row>
    <row r="120" spans="1:4" x14ac:dyDescent="0.2">
      <c r="A120" s="614" t="s">
        <v>114</v>
      </c>
      <c r="B120" s="17" t="s">
        <v>338</v>
      </c>
      <c r="C120" s="223">
        <v>46</v>
      </c>
      <c r="D120" s="224">
        <v>1551.5350000000001</v>
      </c>
    </row>
    <row r="121" spans="1:4" x14ac:dyDescent="0.2">
      <c r="A121" s="623" t="s">
        <v>394</v>
      </c>
      <c r="B121" s="623"/>
      <c r="C121" s="624"/>
      <c r="D121" s="625"/>
    </row>
    <row r="122" spans="1:4" x14ac:dyDescent="0.2">
      <c r="A122" s="614" t="s">
        <v>108</v>
      </c>
      <c r="B122" s="17" t="s">
        <v>381</v>
      </c>
      <c r="C122" s="223" t="s">
        <v>74</v>
      </c>
      <c r="D122" s="224" t="s">
        <v>74</v>
      </c>
    </row>
    <row r="123" spans="1:4" x14ac:dyDescent="0.2">
      <c r="A123" s="614" t="s">
        <v>108</v>
      </c>
      <c r="B123" s="17" t="s">
        <v>382</v>
      </c>
      <c r="C123" s="223" t="s">
        <v>74</v>
      </c>
      <c r="D123" s="224" t="s">
        <v>74</v>
      </c>
    </row>
    <row r="124" spans="1:4" x14ac:dyDescent="0.2">
      <c r="A124" s="614" t="s">
        <v>108</v>
      </c>
      <c r="B124" s="17" t="s">
        <v>337</v>
      </c>
      <c r="C124" s="223" t="s">
        <v>74</v>
      </c>
      <c r="D124" s="224" t="s">
        <v>74</v>
      </c>
    </row>
    <row r="125" spans="1:4" ht="25.5" x14ac:dyDescent="0.2">
      <c r="A125" s="614" t="s">
        <v>109</v>
      </c>
      <c r="B125" s="17" t="s">
        <v>339</v>
      </c>
      <c r="C125" s="223" t="s">
        <v>74</v>
      </c>
      <c r="D125" s="224" t="s">
        <v>74</v>
      </c>
    </row>
    <row r="126" spans="1:4" x14ac:dyDescent="0.2">
      <c r="A126" s="614" t="s">
        <v>110</v>
      </c>
      <c r="B126" s="17" t="s">
        <v>354</v>
      </c>
      <c r="C126" s="223">
        <v>5</v>
      </c>
      <c r="D126" s="224">
        <v>719.83900000000006</v>
      </c>
    </row>
    <row r="127" spans="1:4" ht="25.5" x14ac:dyDescent="0.2">
      <c r="A127" s="17" t="s">
        <v>111</v>
      </c>
      <c r="B127" s="17" t="s">
        <v>395</v>
      </c>
      <c r="C127" s="223">
        <v>4</v>
      </c>
      <c r="D127" s="224">
        <v>491.5</v>
      </c>
    </row>
    <row r="128" spans="1:4" x14ac:dyDescent="0.2">
      <c r="A128" s="614" t="s">
        <v>112</v>
      </c>
      <c r="B128" s="17" t="s">
        <v>362</v>
      </c>
      <c r="C128" s="223" t="s">
        <v>74</v>
      </c>
      <c r="D128" s="224" t="s">
        <v>74</v>
      </c>
    </row>
    <row r="129" spans="1:4" x14ac:dyDescent="0.2">
      <c r="A129" s="614" t="s">
        <v>112</v>
      </c>
      <c r="B129" s="17" t="s">
        <v>364</v>
      </c>
      <c r="C129" s="223" t="s">
        <v>74</v>
      </c>
      <c r="D129" s="224" t="s">
        <v>74</v>
      </c>
    </row>
    <row r="130" spans="1:4" x14ac:dyDescent="0.2">
      <c r="A130" s="614" t="s">
        <v>112</v>
      </c>
      <c r="B130" s="17" t="s">
        <v>365</v>
      </c>
      <c r="C130" s="223" t="s">
        <v>74</v>
      </c>
      <c r="D130" s="224" t="s">
        <v>74</v>
      </c>
    </row>
    <row r="131" spans="1:4" x14ac:dyDescent="0.2">
      <c r="A131" s="614" t="s">
        <v>112</v>
      </c>
      <c r="B131" s="17" t="s">
        <v>338</v>
      </c>
      <c r="C131" s="223" t="s">
        <v>74</v>
      </c>
      <c r="D131" s="224" t="s">
        <v>74</v>
      </c>
    </row>
    <row r="132" spans="1:4" ht="38.25" x14ac:dyDescent="0.2">
      <c r="A132" s="17" t="s">
        <v>114</v>
      </c>
      <c r="B132" s="17" t="s">
        <v>396</v>
      </c>
      <c r="C132" s="223">
        <v>8</v>
      </c>
      <c r="D132" s="224">
        <v>79.998000000000005</v>
      </c>
    </row>
    <row r="133" spans="1:4" x14ac:dyDescent="0.2">
      <c r="A133" s="623" t="s">
        <v>397</v>
      </c>
      <c r="B133" s="623"/>
      <c r="C133" s="624"/>
      <c r="D133" s="625"/>
    </row>
    <row r="134" spans="1:4" x14ac:dyDescent="0.2">
      <c r="A134" s="614" t="s">
        <v>108</v>
      </c>
      <c r="B134" s="17" t="s">
        <v>381</v>
      </c>
      <c r="C134" s="223" t="s">
        <v>74</v>
      </c>
      <c r="D134" s="224" t="s">
        <v>74</v>
      </c>
    </row>
    <row r="135" spans="1:4" x14ac:dyDescent="0.2">
      <c r="A135" s="614" t="s">
        <v>108</v>
      </c>
      <c r="B135" s="17" t="s">
        <v>382</v>
      </c>
      <c r="C135" s="223" t="s">
        <v>74</v>
      </c>
      <c r="D135" s="224" t="s">
        <v>74</v>
      </c>
    </row>
    <row r="136" spans="1:4" x14ac:dyDescent="0.2">
      <c r="A136" s="614" t="s">
        <v>108</v>
      </c>
      <c r="B136" s="17" t="s">
        <v>332</v>
      </c>
      <c r="C136" s="223" t="s">
        <v>74</v>
      </c>
      <c r="D136" s="224" t="s">
        <v>74</v>
      </c>
    </row>
    <row r="137" spans="1:4" x14ac:dyDescent="0.2">
      <c r="A137" s="614" t="s">
        <v>108</v>
      </c>
      <c r="B137" s="17" t="s">
        <v>337</v>
      </c>
      <c r="C137" s="223" t="s">
        <v>74</v>
      </c>
      <c r="D137" s="224" t="s">
        <v>74</v>
      </c>
    </row>
    <row r="138" spans="1:4" x14ac:dyDescent="0.2">
      <c r="A138" s="614" t="s">
        <v>108</v>
      </c>
      <c r="B138" s="17" t="s">
        <v>338</v>
      </c>
      <c r="C138" s="223" t="s">
        <v>74</v>
      </c>
      <c r="D138" s="224" t="s">
        <v>74</v>
      </c>
    </row>
    <row r="139" spans="1:4" ht="25.5" x14ac:dyDescent="0.2">
      <c r="A139" s="614" t="s">
        <v>109</v>
      </c>
      <c r="B139" s="17" t="s">
        <v>339</v>
      </c>
      <c r="C139" s="223">
        <v>6</v>
      </c>
      <c r="D139" s="224">
        <v>66.540599999999998</v>
      </c>
    </row>
    <row r="140" spans="1:4" ht="51" x14ac:dyDescent="0.2">
      <c r="A140" s="614" t="s">
        <v>109</v>
      </c>
      <c r="B140" s="17" t="s">
        <v>398</v>
      </c>
      <c r="C140" s="223">
        <v>12</v>
      </c>
      <c r="D140" s="224">
        <v>643.53279999999995</v>
      </c>
    </row>
    <row r="141" spans="1:4" x14ac:dyDescent="0.2">
      <c r="A141" s="614" t="s">
        <v>109</v>
      </c>
      <c r="B141" s="17" t="s">
        <v>399</v>
      </c>
      <c r="C141" s="223">
        <v>6</v>
      </c>
      <c r="D141" s="224">
        <v>64.925600000000003</v>
      </c>
    </row>
    <row r="142" spans="1:4" x14ac:dyDescent="0.2">
      <c r="A142" s="614" t="s">
        <v>110</v>
      </c>
      <c r="B142" s="17" t="s">
        <v>347</v>
      </c>
      <c r="C142" s="223">
        <v>7</v>
      </c>
      <c r="D142" s="224">
        <v>63.902000000000001</v>
      </c>
    </row>
    <row r="143" spans="1:4" x14ac:dyDescent="0.2">
      <c r="A143" s="614" t="s">
        <v>110</v>
      </c>
      <c r="B143" s="17" t="s">
        <v>348</v>
      </c>
      <c r="C143" s="223">
        <v>8</v>
      </c>
      <c r="D143" s="224">
        <v>93.891999999999996</v>
      </c>
    </row>
    <row r="144" spans="1:4" x14ac:dyDescent="0.2">
      <c r="A144" s="614" t="s">
        <v>110</v>
      </c>
      <c r="B144" s="17" t="s">
        <v>349</v>
      </c>
      <c r="C144" s="223">
        <v>4</v>
      </c>
      <c r="D144" s="224">
        <v>1.0565</v>
      </c>
    </row>
    <row r="145" spans="1:4" ht="25.5" x14ac:dyDescent="0.2">
      <c r="A145" s="614" t="s">
        <v>110</v>
      </c>
      <c r="B145" s="17" t="s">
        <v>350</v>
      </c>
      <c r="C145" s="223">
        <v>10</v>
      </c>
      <c r="D145" s="224">
        <v>111.64100000000001</v>
      </c>
    </row>
    <row r="146" spans="1:4" x14ac:dyDescent="0.2">
      <c r="A146" s="614" t="s">
        <v>110</v>
      </c>
      <c r="B146" s="17" t="s">
        <v>351</v>
      </c>
      <c r="C146" s="223">
        <v>25</v>
      </c>
      <c r="D146" s="224">
        <v>103.4503</v>
      </c>
    </row>
    <row r="147" spans="1:4" x14ac:dyDescent="0.2">
      <c r="A147" s="614" t="s">
        <v>110</v>
      </c>
      <c r="B147" s="17" t="s">
        <v>352</v>
      </c>
      <c r="C147" s="223">
        <v>6</v>
      </c>
      <c r="D147" s="224">
        <v>5.0004999999999997</v>
      </c>
    </row>
    <row r="148" spans="1:4" x14ac:dyDescent="0.2">
      <c r="A148" s="614" t="s">
        <v>110</v>
      </c>
      <c r="B148" s="17" t="s">
        <v>353</v>
      </c>
      <c r="C148" s="223">
        <v>5</v>
      </c>
      <c r="D148" s="224">
        <v>2.3769999999999998</v>
      </c>
    </row>
    <row r="149" spans="1:4" x14ac:dyDescent="0.2">
      <c r="A149" s="614" t="s">
        <v>110</v>
      </c>
      <c r="B149" s="17" t="s">
        <v>356</v>
      </c>
      <c r="C149" s="223">
        <v>11</v>
      </c>
      <c r="D149" s="224">
        <v>1209.95</v>
      </c>
    </row>
    <row r="150" spans="1:4" x14ac:dyDescent="0.2">
      <c r="A150" s="614" t="s">
        <v>110</v>
      </c>
      <c r="B150" s="17" t="s">
        <v>338</v>
      </c>
      <c r="C150" s="223">
        <v>25</v>
      </c>
      <c r="D150" s="224">
        <v>251.501</v>
      </c>
    </row>
    <row r="151" spans="1:4" x14ac:dyDescent="0.2">
      <c r="A151" s="614" t="s">
        <v>111</v>
      </c>
      <c r="B151" s="17" t="s">
        <v>358</v>
      </c>
      <c r="C151" s="223">
        <v>15</v>
      </c>
      <c r="D151" s="224">
        <v>12.396000000000001</v>
      </c>
    </row>
    <row r="152" spans="1:4" ht="25.5" x14ac:dyDescent="0.2">
      <c r="A152" s="614" t="s">
        <v>111</v>
      </c>
      <c r="B152" s="17" t="s">
        <v>400</v>
      </c>
      <c r="C152" s="223">
        <v>15</v>
      </c>
      <c r="D152" s="224">
        <v>784.11800000000005</v>
      </c>
    </row>
    <row r="153" spans="1:4" x14ac:dyDescent="0.2">
      <c r="A153" s="614" t="s">
        <v>112</v>
      </c>
      <c r="B153" s="17" t="s">
        <v>363</v>
      </c>
      <c r="C153" s="223">
        <v>4</v>
      </c>
      <c r="D153" s="224">
        <v>1.8080000000000001</v>
      </c>
    </row>
    <row r="154" spans="1:4" x14ac:dyDescent="0.2">
      <c r="A154" s="614" t="s">
        <v>112</v>
      </c>
      <c r="B154" s="17" t="s">
        <v>365</v>
      </c>
      <c r="C154" s="223">
        <v>16</v>
      </c>
      <c r="D154" s="224">
        <v>66.399950000000004</v>
      </c>
    </row>
    <row r="155" spans="1:4" x14ac:dyDescent="0.2">
      <c r="A155" s="614" t="s">
        <v>112</v>
      </c>
      <c r="B155" s="17" t="s">
        <v>338</v>
      </c>
      <c r="C155" s="223">
        <v>15</v>
      </c>
      <c r="D155" s="224">
        <v>160.78274999999999</v>
      </c>
    </row>
    <row r="156" spans="1:4" x14ac:dyDescent="0.2">
      <c r="A156" s="614" t="s">
        <v>113</v>
      </c>
      <c r="B156" s="17" t="s">
        <v>366</v>
      </c>
      <c r="C156" s="223" t="s">
        <v>74</v>
      </c>
      <c r="D156" s="224" t="s">
        <v>74</v>
      </c>
    </row>
    <row r="157" spans="1:4" x14ac:dyDescent="0.2">
      <c r="A157" s="614" t="s">
        <v>113</v>
      </c>
      <c r="B157" s="17" t="s">
        <v>379</v>
      </c>
      <c r="C157" s="223" t="s">
        <v>74</v>
      </c>
      <c r="D157" s="224" t="s">
        <v>74</v>
      </c>
    </row>
    <row r="158" spans="1:4" x14ac:dyDescent="0.2">
      <c r="A158" s="614" t="s">
        <v>113</v>
      </c>
      <c r="B158" s="17" t="s">
        <v>338</v>
      </c>
      <c r="C158" s="223">
        <v>4</v>
      </c>
      <c r="D158" s="224">
        <v>0.75</v>
      </c>
    </row>
    <row r="159" spans="1:4" x14ac:dyDescent="0.2">
      <c r="A159" s="614" t="s">
        <v>114</v>
      </c>
      <c r="B159" s="17" t="s">
        <v>401</v>
      </c>
      <c r="C159" s="223">
        <v>22</v>
      </c>
      <c r="D159" s="224">
        <v>23.207000000000001</v>
      </c>
    </row>
    <row r="160" spans="1:4" ht="38.25" x14ac:dyDescent="0.2">
      <c r="A160" s="614" t="s">
        <v>114</v>
      </c>
      <c r="B160" s="17" t="s">
        <v>369</v>
      </c>
      <c r="C160" s="223">
        <v>10</v>
      </c>
      <c r="D160" s="224">
        <v>3.55</v>
      </c>
    </row>
    <row r="161" spans="1:4" x14ac:dyDescent="0.2">
      <c r="A161" s="614" t="s">
        <v>114</v>
      </c>
      <c r="B161" s="17" t="s">
        <v>401</v>
      </c>
      <c r="C161" s="223">
        <v>22</v>
      </c>
      <c r="D161" s="224">
        <v>23.207000000000001</v>
      </c>
    </row>
    <row r="162" spans="1:4" x14ac:dyDescent="0.2">
      <c r="A162" s="608" t="s">
        <v>402</v>
      </c>
      <c r="B162" s="609"/>
      <c r="C162" s="609"/>
      <c r="D162" s="609"/>
    </row>
    <row r="163" spans="1:4" ht="27.75" customHeight="1" x14ac:dyDescent="0.2">
      <c r="A163" s="608" t="s">
        <v>403</v>
      </c>
      <c r="B163" s="609"/>
      <c r="C163" s="609"/>
      <c r="D163" s="609"/>
    </row>
    <row r="164" spans="1:4" ht="45.75" customHeight="1" x14ac:dyDescent="0.2">
      <c r="A164" s="608" t="s">
        <v>924</v>
      </c>
      <c r="B164" s="609"/>
      <c r="C164" s="609"/>
      <c r="D164" s="609"/>
    </row>
    <row r="165" spans="1:4" ht="67.5" customHeight="1" x14ac:dyDescent="0.2">
      <c r="A165" s="608" t="s">
        <v>404</v>
      </c>
      <c r="B165" s="609"/>
      <c r="C165" s="609"/>
      <c r="D165" s="609"/>
    </row>
    <row r="166" spans="1:4" x14ac:dyDescent="0.2">
      <c r="A166" s="608" t="s">
        <v>45</v>
      </c>
      <c r="B166" s="609"/>
      <c r="C166" s="609"/>
      <c r="D166" s="609"/>
    </row>
    <row r="167" spans="1:4" x14ac:dyDescent="0.2">
      <c r="A167" s="608" t="s">
        <v>405</v>
      </c>
      <c r="B167" s="609"/>
      <c r="C167" s="609"/>
      <c r="D167" s="609"/>
    </row>
    <row r="168" spans="1:4" x14ac:dyDescent="0.2">
      <c r="A168" s="610" t="s">
        <v>209</v>
      </c>
      <c r="B168" s="609"/>
      <c r="C168" s="609"/>
      <c r="D168" s="609"/>
    </row>
  </sheetData>
  <mergeCells count="45">
    <mergeCell ref="F1:H2"/>
    <mergeCell ref="A1:D1"/>
    <mergeCell ref="A3:D3"/>
    <mergeCell ref="A162:D162"/>
    <mergeCell ref="A163:D163"/>
    <mergeCell ref="A5:D5"/>
    <mergeCell ref="A54:D54"/>
    <mergeCell ref="A85:D85"/>
    <mergeCell ref="A121:D121"/>
    <mergeCell ref="A133:D133"/>
    <mergeCell ref="A6:A14"/>
    <mergeCell ref="A15:A22"/>
    <mergeCell ref="A23:A34"/>
    <mergeCell ref="A35:A40"/>
    <mergeCell ref="A41:A45"/>
    <mergeCell ref="A46:A48"/>
    <mergeCell ref="A164:D164"/>
    <mergeCell ref="A165:D165"/>
    <mergeCell ref="A166:D166"/>
    <mergeCell ref="A167:D167"/>
    <mergeCell ref="A168:D168"/>
    <mergeCell ref="A49:A53"/>
    <mergeCell ref="A55:A62"/>
    <mergeCell ref="A63:A67"/>
    <mergeCell ref="A68:A72"/>
    <mergeCell ref="A73:A76"/>
    <mergeCell ref="A77:A79"/>
    <mergeCell ref="A80:A81"/>
    <mergeCell ref="A82:A84"/>
    <mergeCell ref="A86:A92"/>
    <mergeCell ref="A93:A99"/>
    <mergeCell ref="A100:A107"/>
    <mergeCell ref="A108:A111"/>
    <mergeCell ref="A112:A115"/>
    <mergeCell ref="A116:A120"/>
    <mergeCell ref="A122:A124"/>
    <mergeCell ref="A151:A152"/>
    <mergeCell ref="A153:A155"/>
    <mergeCell ref="A156:A158"/>
    <mergeCell ref="A159:A161"/>
    <mergeCell ref="A125:A126"/>
    <mergeCell ref="A128:A131"/>
    <mergeCell ref="A134:A138"/>
    <mergeCell ref="A139:A141"/>
    <mergeCell ref="A142:A150"/>
  </mergeCells>
  <pageMargins left="0.6" right="0.79" top="0.79" bottom="1.06" header="0.3" footer="0.3"/>
  <pageSetup paperSize="9" fitToWidth="0" fitToHeight="0"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workbookViewId="0">
      <selection sqref="A1:G1"/>
    </sheetView>
  </sheetViews>
  <sheetFormatPr baseColWidth="10" defaultColWidth="9.140625" defaultRowHeight="12.75" x14ac:dyDescent="0.2"/>
  <cols>
    <col min="1" max="1" width="26.7109375" customWidth="1"/>
    <col min="2" max="2" width="12.7109375" customWidth="1"/>
    <col min="3" max="7" width="9.7109375" customWidth="1"/>
  </cols>
  <sheetData>
    <row r="1" spans="1:11" ht="39.75" customHeight="1" x14ac:dyDescent="0.2">
      <c r="A1" s="612" t="s">
        <v>970</v>
      </c>
      <c r="B1" s="609"/>
      <c r="C1" s="609"/>
      <c r="D1" s="609"/>
      <c r="E1" s="609"/>
      <c r="F1" s="609"/>
      <c r="G1" s="609"/>
      <c r="I1" s="611" t="str">
        <f>HYPERLINK("#'sommaire'!A1", "Retour sommaire")</f>
        <v>Retour sommaire</v>
      </c>
      <c r="J1" s="609"/>
      <c r="K1" s="609"/>
    </row>
    <row r="2" spans="1:11" x14ac:dyDescent="0.2">
      <c r="I2" s="609"/>
      <c r="J2" s="609"/>
      <c r="K2" s="609"/>
    </row>
    <row r="3" spans="1:11" ht="76.5" x14ac:dyDescent="0.2">
      <c r="A3" s="4" t="s">
        <v>19</v>
      </c>
      <c r="B3" s="4" t="s">
        <v>20</v>
      </c>
      <c r="C3" s="4" t="s">
        <v>21</v>
      </c>
      <c r="D3" s="4" t="s">
        <v>22</v>
      </c>
      <c r="E3" s="4" t="s">
        <v>23</v>
      </c>
      <c r="F3" s="4" t="s">
        <v>195</v>
      </c>
      <c r="G3" s="4" t="s">
        <v>406</v>
      </c>
    </row>
    <row r="4" spans="1:11" ht="25.5" x14ac:dyDescent="0.2">
      <c r="A4" s="5"/>
      <c r="B4" s="5" t="s">
        <v>24</v>
      </c>
      <c r="C4" s="5" t="s">
        <v>25</v>
      </c>
      <c r="D4" s="5" t="s">
        <v>26</v>
      </c>
      <c r="E4" s="5" t="s">
        <v>27</v>
      </c>
      <c r="F4" s="5" t="s">
        <v>52</v>
      </c>
      <c r="G4" s="5" t="s">
        <v>52</v>
      </c>
    </row>
    <row r="5" spans="1:11" x14ac:dyDescent="0.2">
      <c r="A5" s="7" t="s">
        <v>407</v>
      </c>
      <c r="B5" s="226">
        <v>320</v>
      </c>
      <c r="C5" s="229">
        <v>34563.679300000003</v>
      </c>
      <c r="D5" s="232">
        <v>128153.18030549699</v>
      </c>
      <c r="E5" s="235">
        <v>3.7077412735251398</v>
      </c>
      <c r="F5" s="238">
        <v>8.0841973585187503</v>
      </c>
      <c r="G5" s="241">
        <v>6.3182467560379996</v>
      </c>
    </row>
    <row r="6" spans="1:11" x14ac:dyDescent="0.2">
      <c r="A6" s="8" t="s">
        <v>408</v>
      </c>
      <c r="B6" s="227">
        <v>310</v>
      </c>
      <c r="C6" s="230">
        <v>33150.096700000002</v>
      </c>
      <c r="D6" s="233">
        <v>118897.42886105699</v>
      </c>
      <c r="E6" s="236">
        <v>3.58663897535651</v>
      </c>
      <c r="F6" s="239">
        <v>8.0513379665252494</v>
      </c>
      <c r="G6" s="242">
        <v>6.4077180480379896</v>
      </c>
    </row>
    <row r="7" spans="1:11" x14ac:dyDescent="0.2">
      <c r="A7" s="8" t="s">
        <v>409</v>
      </c>
      <c r="B7" s="227">
        <v>160</v>
      </c>
      <c r="C7" s="230">
        <v>991.85299999999995</v>
      </c>
      <c r="D7" s="233">
        <v>6206.7419</v>
      </c>
      <c r="E7" s="236">
        <v>6.2577235739570298</v>
      </c>
      <c r="F7" s="239">
        <v>10.057252945984301</v>
      </c>
      <c r="G7" s="242">
        <v>4.6196848168948597</v>
      </c>
    </row>
    <row r="8" spans="1:11" x14ac:dyDescent="0.2">
      <c r="A8" s="8" t="s">
        <v>410</v>
      </c>
      <c r="B8" s="227">
        <v>81</v>
      </c>
      <c r="C8" s="230">
        <v>184.58160000000001</v>
      </c>
      <c r="D8" s="233">
        <v>1043.60460780529</v>
      </c>
      <c r="E8" s="236">
        <v>5.6538929546893399</v>
      </c>
      <c r="F8" s="239">
        <v>9.0759284647507794</v>
      </c>
      <c r="G8" s="242">
        <v>5.84701715238322</v>
      </c>
    </row>
    <row r="9" spans="1:11" ht="25.5" x14ac:dyDescent="0.2">
      <c r="A9" s="8" t="s">
        <v>411</v>
      </c>
      <c r="B9" s="227">
        <v>34</v>
      </c>
      <c r="C9" s="230">
        <v>237.148</v>
      </c>
      <c r="D9" s="233">
        <v>2005.4049366342299</v>
      </c>
      <c r="E9" s="236">
        <v>8.4563434506478306</v>
      </c>
      <c r="F9" s="239">
        <v>3.1159246731514298</v>
      </c>
      <c r="G9" s="242">
        <v>1.59692046585587</v>
      </c>
    </row>
    <row r="10" spans="1:11" ht="25.5" x14ac:dyDescent="0.2">
      <c r="A10" s="7" t="s">
        <v>412</v>
      </c>
      <c r="B10" s="226">
        <v>45</v>
      </c>
      <c r="C10" s="229">
        <v>116.7324</v>
      </c>
      <c r="D10" s="232">
        <v>2182.3910000000001</v>
      </c>
      <c r="E10" s="235">
        <v>18.6956748940311</v>
      </c>
      <c r="F10" s="238" t="s">
        <v>60</v>
      </c>
      <c r="G10" s="241" t="s">
        <v>60</v>
      </c>
    </row>
    <row r="11" spans="1:11" ht="38.25" x14ac:dyDescent="0.2">
      <c r="A11" s="7" t="s">
        <v>413</v>
      </c>
      <c r="B11" s="226">
        <v>7</v>
      </c>
      <c r="C11" s="229">
        <v>409.03</v>
      </c>
      <c r="D11" s="232">
        <v>1769.318</v>
      </c>
      <c r="E11" s="235">
        <v>4.3256435958242703</v>
      </c>
      <c r="F11" s="238">
        <v>2.7973018808971202</v>
      </c>
      <c r="G11" s="241">
        <v>1.71792057023414</v>
      </c>
    </row>
    <row r="12" spans="1:11" x14ac:dyDescent="0.2">
      <c r="A12" s="7" t="s">
        <v>36</v>
      </c>
      <c r="B12" s="226">
        <v>8</v>
      </c>
      <c r="C12" s="229">
        <v>39.863999999999997</v>
      </c>
      <c r="D12" s="232">
        <v>23537.178</v>
      </c>
      <c r="E12" s="235">
        <v>590.43693558097505</v>
      </c>
      <c r="F12" s="238" t="s">
        <v>60</v>
      </c>
      <c r="G12" s="241" t="s">
        <v>60</v>
      </c>
    </row>
    <row r="13" spans="1:11" x14ac:dyDescent="0.2">
      <c r="A13" s="7" t="s">
        <v>37</v>
      </c>
      <c r="B13" s="226">
        <v>213</v>
      </c>
      <c r="C13" s="229">
        <v>3591.5439999999999</v>
      </c>
      <c r="D13" s="232">
        <v>13399.867</v>
      </c>
      <c r="E13" s="235">
        <v>3.7309488621049902</v>
      </c>
      <c r="F13" s="238">
        <v>24.500345972208201</v>
      </c>
      <c r="G13" s="241">
        <v>20.2522769494248</v>
      </c>
    </row>
    <row r="14" spans="1:11" x14ac:dyDescent="0.2">
      <c r="A14" s="8" t="s">
        <v>414</v>
      </c>
      <c r="B14" s="227">
        <v>173</v>
      </c>
      <c r="C14" s="230">
        <v>1409.1461099999999</v>
      </c>
      <c r="D14" s="649" t="s">
        <v>60</v>
      </c>
      <c r="E14" s="650" t="s">
        <v>60</v>
      </c>
      <c r="F14" s="650" t="s">
        <v>60</v>
      </c>
      <c r="G14" s="650" t="s">
        <v>60</v>
      </c>
    </row>
    <row r="15" spans="1:11" x14ac:dyDescent="0.2">
      <c r="A15" s="8" t="s">
        <v>415</v>
      </c>
      <c r="B15" s="227">
        <v>169</v>
      </c>
      <c r="C15" s="230">
        <v>1150.84835</v>
      </c>
      <c r="D15" s="649" t="s">
        <v>60</v>
      </c>
      <c r="E15" s="650" t="s">
        <v>60</v>
      </c>
      <c r="F15" s="650" t="s">
        <v>60</v>
      </c>
      <c r="G15" s="650" t="s">
        <v>60</v>
      </c>
    </row>
    <row r="16" spans="1:11" x14ac:dyDescent="0.2">
      <c r="A16" s="8" t="s">
        <v>416</v>
      </c>
      <c r="B16" s="227">
        <v>140</v>
      </c>
      <c r="C16" s="230">
        <v>266.81518999999997</v>
      </c>
      <c r="D16" s="649" t="s">
        <v>60</v>
      </c>
      <c r="E16" s="650" t="s">
        <v>60</v>
      </c>
      <c r="F16" s="650" t="s">
        <v>60</v>
      </c>
      <c r="G16" s="650" t="s">
        <v>60</v>
      </c>
    </row>
    <row r="17" spans="1:7" x14ac:dyDescent="0.2">
      <c r="A17" s="8" t="s">
        <v>417</v>
      </c>
      <c r="B17" s="227">
        <v>131</v>
      </c>
      <c r="C17" s="230">
        <v>243.54304999999999</v>
      </c>
      <c r="D17" s="649" t="s">
        <v>60</v>
      </c>
      <c r="E17" s="650" t="s">
        <v>60</v>
      </c>
      <c r="F17" s="650" t="s">
        <v>60</v>
      </c>
      <c r="G17" s="650" t="s">
        <v>60</v>
      </c>
    </row>
    <row r="18" spans="1:7" x14ac:dyDescent="0.2">
      <c r="A18" s="8" t="s">
        <v>418</v>
      </c>
      <c r="B18" s="227">
        <v>99</v>
      </c>
      <c r="C18" s="230">
        <v>108.81013</v>
      </c>
      <c r="D18" s="649" t="s">
        <v>60</v>
      </c>
      <c r="E18" s="650" t="s">
        <v>60</v>
      </c>
      <c r="F18" s="650" t="s">
        <v>60</v>
      </c>
      <c r="G18" s="650" t="s">
        <v>60</v>
      </c>
    </row>
    <row r="19" spans="1:7" x14ac:dyDescent="0.2">
      <c r="A19" s="8" t="s">
        <v>419</v>
      </c>
      <c r="B19" s="227">
        <v>213</v>
      </c>
      <c r="C19" s="230">
        <v>91.384659999999997</v>
      </c>
      <c r="D19" s="649" t="s">
        <v>60</v>
      </c>
      <c r="E19" s="650" t="s">
        <v>60</v>
      </c>
      <c r="F19" s="650" t="s">
        <v>60</v>
      </c>
      <c r="G19" s="650" t="s">
        <v>60</v>
      </c>
    </row>
    <row r="20" spans="1:7" x14ac:dyDescent="0.2">
      <c r="A20" s="8" t="s">
        <v>420</v>
      </c>
      <c r="B20" s="227">
        <v>100</v>
      </c>
      <c r="C20" s="230">
        <v>75.166989999999998</v>
      </c>
      <c r="D20" s="649" t="s">
        <v>60</v>
      </c>
      <c r="E20" s="650" t="s">
        <v>60</v>
      </c>
      <c r="F20" s="650" t="s">
        <v>60</v>
      </c>
      <c r="G20" s="650" t="s">
        <v>60</v>
      </c>
    </row>
    <row r="21" spans="1:7" x14ac:dyDescent="0.2">
      <c r="A21" s="8" t="s">
        <v>421</v>
      </c>
      <c r="B21" s="227">
        <v>30</v>
      </c>
      <c r="C21" s="230">
        <v>52.812309999999997</v>
      </c>
      <c r="D21" s="649" t="s">
        <v>60</v>
      </c>
      <c r="E21" s="650" t="s">
        <v>60</v>
      </c>
      <c r="F21" s="650" t="s">
        <v>60</v>
      </c>
      <c r="G21" s="650" t="s">
        <v>60</v>
      </c>
    </row>
    <row r="22" spans="1:7" x14ac:dyDescent="0.2">
      <c r="A22" s="8" t="s">
        <v>422</v>
      </c>
      <c r="B22" s="227">
        <v>67</v>
      </c>
      <c r="C22" s="230">
        <v>45.936480000000003</v>
      </c>
      <c r="D22" s="649" t="s">
        <v>60</v>
      </c>
      <c r="E22" s="650" t="s">
        <v>60</v>
      </c>
      <c r="F22" s="650" t="s">
        <v>60</v>
      </c>
      <c r="G22" s="650" t="s">
        <v>60</v>
      </c>
    </row>
    <row r="23" spans="1:7" x14ac:dyDescent="0.2">
      <c r="A23" s="8" t="s">
        <v>423</v>
      </c>
      <c r="B23" s="227">
        <v>62</v>
      </c>
      <c r="C23" s="230">
        <v>147.08072999999999</v>
      </c>
      <c r="D23" s="649" t="s">
        <v>60</v>
      </c>
      <c r="E23" s="650" t="s">
        <v>60</v>
      </c>
      <c r="F23" s="650" t="s">
        <v>60</v>
      </c>
      <c r="G23" s="650" t="s">
        <v>60</v>
      </c>
    </row>
    <row r="24" spans="1:7" x14ac:dyDescent="0.2">
      <c r="A24" s="7" t="s">
        <v>38</v>
      </c>
      <c r="B24" s="226">
        <v>29</v>
      </c>
      <c r="C24" s="229">
        <v>4442.424</v>
      </c>
      <c r="D24" s="232">
        <v>40531.301666666703</v>
      </c>
      <c r="E24" s="235">
        <v>9.1236905047034398</v>
      </c>
      <c r="F24" s="238">
        <v>9.8928236026097505</v>
      </c>
      <c r="G24" s="241" t="s">
        <v>60</v>
      </c>
    </row>
    <row r="25" spans="1:7" x14ac:dyDescent="0.2">
      <c r="A25" s="8" t="s">
        <v>424</v>
      </c>
      <c r="B25" s="227">
        <v>18</v>
      </c>
      <c r="C25" s="230">
        <v>1721.5340000000001</v>
      </c>
      <c r="D25" s="233">
        <v>14623.7366666667</v>
      </c>
      <c r="E25" s="236">
        <v>8.4945964858473104</v>
      </c>
      <c r="F25" s="239">
        <v>7.8078818077365897</v>
      </c>
      <c r="G25" s="242" t="s">
        <v>60</v>
      </c>
    </row>
    <row r="26" spans="1:7" x14ac:dyDescent="0.2">
      <c r="A26" s="8" t="s">
        <v>425</v>
      </c>
      <c r="B26" s="227">
        <v>13</v>
      </c>
      <c r="C26" s="230">
        <v>1607.961</v>
      </c>
      <c r="D26" s="233">
        <v>13749.366</v>
      </c>
      <c r="E26" s="236">
        <v>8.5508081352719394</v>
      </c>
      <c r="F26" s="239">
        <v>7.97706536414751</v>
      </c>
      <c r="G26" s="242" t="s">
        <v>60</v>
      </c>
    </row>
    <row r="27" spans="1:7" x14ac:dyDescent="0.2">
      <c r="A27" s="8" t="s">
        <v>426</v>
      </c>
      <c r="B27" s="227">
        <v>4</v>
      </c>
      <c r="C27" s="230">
        <v>251.34399999999999</v>
      </c>
      <c r="D27" s="233">
        <v>2257.2089999999998</v>
      </c>
      <c r="E27" s="236">
        <v>8.9805565281049091</v>
      </c>
      <c r="F27" s="239">
        <v>2.5623050480616198</v>
      </c>
      <c r="G27" s="242" t="s">
        <v>60</v>
      </c>
    </row>
    <row r="28" spans="1:7" x14ac:dyDescent="0.2">
      <c r="A28" s="8" t="s">
        <v>427</v>
      </c>
      <c r="B28" s="227">
        <v>5</v>
      </c>
      <c r="C28" s="230">
        <v>125.342</v>
      </c>
      <c r="D28" s="233">
        <v>811.96</v>
      </c>
      <c r="E28" s="236">
        <v>6.4779563115316501</v>
      </c>
      <c r="F28" s="239">
        <v>6.8038965390691102</v>
      </c>
      <c r="G28" s="242" t="s">
        <v>60</v>
      </c>
    </row>
    <row r="29" spans="1:7" ht="38.25" x14ac:dyDescent="0.2">
      <c r="A29" s="8" t="s">
        <v>428</v>
      </c>
      <c r="B29" s="227">
        <v>7</v>
      </c>
      <c r="C29" s="230">
        <v>736.24300000000005</v>
      </c>
      <c r="D29" s="233">
        <v>9089.0300000000007</v>
      </c>
      <c r="E29" s="236">
        <v>12.3451496313038</v>
      </c>
      <c r="F29" s="239">
        <v>21.980431732457902</v>
      </c>
      <c r="G29" s="242" t="s">
        <v>60</v>
      </c>
    </row>
    <row r="30" spans="1:7" x14ac:dyDescent="0.2">
      <c r="A30" s="6" t="s">
        <v>75</v>
      </c>
      <c r="B30" s="225">
        <v>564</v>
      </c>
      <c r="C30" s="228">
        <v>43163.273699999998</v>
      </c>
      <c r="D30" s="231">
        <v>209573.23597216301</v>
      </c>
      <c r="E30" s="234">
        <v>4.8553600783103503</v>
      </c>
      <c r="F30" s="237">
        <v>9.5916727066124903</v>
      </c>
      <c r="G30" s="240" t="s">
        <v>60</v>
      </c>
    </row>
    <row r="31" spans="1:7" x14ac:dyDescent="0.2">
      <c r="A31" s="608" t="s">
        <v>971</v>
      </c>
      <c r="B31" s="609"/>
      <c r="C31" s="609"/>
      <c r="D31" s="609"/>
      <c r="E31" s="609"/>
      <c r="F31" s="609"/>
      <c r="G31" s="609"/>
    </row>
    <row r="32" spans="1:7" ht="30" customHeight="1" x14ac:dyDescent="0.2">
      <c r="A32" s="608" t="s">
        <v>972</v>
      </c>
      <c r="B32" s="609"/>
      <c r="C32" s="609"/>
      <c r="D32" s="609"/>
      <c r="E32" s="609"/>
      <c r="F32" s="609"/>
      <c r="G32" s="609"/>
    </row>
    <row r="33" spans="1:7" ht="29.25" customHeight="1" x14ac:dyDescent="0.2">
      <c r="A33" s="608" t="s">
        <v>429</v>
      </c>
      <c r="B33" s="609"/>
      <c r="C33" s="609"/>
      <c r="D33" s="609"/>
      <c r="E33" s="609"/>
      <c r="F33" s="609"/>
      <c r="G33" s="609"/>
    </row>
    <row r="34" spans="1:7" x14ac:dyDescent="0.2">
      <c r="A34" s="608" t="s">
        <v>45</v>
      </c>
      <c r="B34" s="609"/>
      <c r="C34" s="609"/>
      <c r="D34" s="609"/>
      <c r="E34" s="609"/>
      <c r="F34" s="609"/>
      <c r="G34" s="609"/>
    </row>
    <row r="35" spans="1:7" x14ac:dyDescent="0.2">
      <c r="A35" s="610" t="s">
        <v>430</v>
      </c>
      <c r="B35" s="609"/>
      <c r="C35" s="609"/>
      <c r="D35" s="609"/>
      <c r="E35" s="609"/>
      <c r="F35" s="609"/>
      <c r="G35" s="609"/>
    </row>
  </sheetData>
  <mergeCells count="8">
    <mergeCell ref="A34:G34"/>
    <mergeCell ref="A35:G35"/>
    <mergeCell ref="D14:G23"/>
    <mergeCell ref="I1:K2"/>
    <mergeCell ref="A1:G1"/>
    <mergeCell ref="A31:G31"/>
    <mergeCell ref="A32:G32"/>
    <mergeCell ref="A33:G33"/>
  </mergeCells>
  <pageMargins left="0.6" right="0.79" top="0.79" bottom="1.06" header="0.3" footer="0.3"/>
  <pageSetup paperSize="9" fitToWidth="0" fitToHeight="0"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topLeftCell="A49" workbookViewId="0">
      <selection activeCell="F35" sqref="F35:F36"/>
    </sheetView>
  </sheetViews>
  <sheetFormatPr baseColWidth="10" defaultColWidth="9.140625" defaultRowHeight="12.75" x14ac:dyDescent="0.2"/>
  <cols>
    <col min="1" max="3" width="13.7109375" customWidth="1"/>
    <col min="4" max="4" width="12.7109375" customWidth="1"/>
    <col min="5" max="8" width="8.7109375" customWidth="1"/>
  </cols>
  <sheetData>
    <row r="1" spans="1:12" ht="39" customHeight="1" x14ac:dyDescent="0.2">
      <c r="A1" s="612" t="s">
        <v>431</v>
      </c>
      <c r="B1" s="609"/>
      <c r="C1" s="609"/>
      <c r="D1" s="609"/>
      <c r="E1" s="609"/>
      <c r="F1" s="609"/>
      <c r="G1" s="609"/>
      <c r="H1" s="609"/>
      <c r="J1" s="611" t="str">
        <f>HYPERLINK("#'sommaire'!A1", "Retour sommaire")</f>
        <v>Retour sommaire</v>
      </c>
      <c r="K1" s="609"/>
      <c r="L1" s="609"/>
    </row>
    <row r="2" spans="1:12" x14ac:dyDescent="0.2">
      <c r="J2" s="609"/>
      <c r="K2" s="609"/>
      <c r="L2" s="609"/>
    </row>
    <row r="3" spans="1:12" ht="38.25" x14ac:dyDescent="0.2">
      <c r="A3" s="4" t="s">
        <v>19</v>
      </c>
      <c r="B3" s="4" t="s">
        <v>432</v>
      </c>
      <c r="C3" s="4" t="s">
        <v>194</v>
      </c>
      <c r="D3" s="4" t="s">
        <v>20</v>
      </c>
      <c r="E3" s="4" t="s">
        <v>21</v>
      </c>
      <c r="F3" s="4" t="s">
        <v>22</v>
      </c>
      <c r="G3" s="4" t="s">
        <v>23</v>
      </c>
      <c r="H3" s="4" t="s">
        <v>195</v>
      </c>
    </row>
    <row r="4" spans="1:12" ht="25.5" x14ac:dyDescent="0.2">
      <c r="A4" s="613"/>
      <c r="B4" s="613"/>
      <c r="C4" s="5"/>
      <c r="D4" s="5" t="s">
        <v>24</v>
      </c>
      <c r="E4" s="5" t="s">
        <v>25</v>
      </c>
      <c r="F4" s="5" t="s">
        <v>26</v>
      </c>
      <c r="G4" s="5" t="s">
        <v>27</v>
      </c>
      <c r="H4" s="5" t="s">
        <v>52</v>
      </c>
    </row>
    <row r="5" spans="1:12" x14ac:dyDescent="0.2">
      <c r="A5" s="623" t="s">
        <v>433</v>
      </c>
      <c r="B5" s="623"/>
      <c r="C5" s="623"/>
      <c r="D5" s="624"/>
      <c r="E5" s="624"/>
      <c r="F5" s="624"/>
      <c r="G5" s="625"/>
      <c r="H5" s="625"/>
    </row>
    <row r="6" spans="1:12" x14ac:dyDescent="0.2">
      <c r="A6" s="614" t="s">
        <v>64</v>
      </c>
      <c r="B6" s="614" t="s">
        <v>125</v>
      </c>
      <c r="C6" s="17" t="s">
        <v>198</v>
      </c>
      <c r="D6" s="243">
        <v>40</v>
      </c>
      <c r="E6" s="244">
        <v>3266.4270000000001</v>
      </c>
      <c r="F6" s="245">
        <v>17366.621468317098</v>
      </c>
      <c r="G6" s="246">
        <v>5.3167027667592501</v>
      </c>
      <c r="H6" s="622">
        <v>13.365112633588399</v>
      </c>
    </row>
    <row r="7" spans="1:12" ht="25.5" x14ac:dyDescent="0.2">
      <c r="A7" s="614" t="s">
        <v>64</v>
      </c>
      <c r="B7" s="614" t="s">
        <v>125</v>
      </c>
      <c r="C7" s="17" t="s">
        <v>434</v>
      </c>
      <c r="D7" s="243">
        <v>6</v>
      </c>
      <c r="E7" s="244">
        <v>728.96199999999999</v>
      </c>
      <c r="F7" s="245">
        <v>2722.4892936634201</v>
      </c>
      <c r="G7" s="246">
        <v>3.7347478931184699</v>
      </c>
      <c r="H7" s="622">
        <v>13.365112633588399</v>
      </c>
    </row>
    <row r="8" spans="1:12" x14ac:dyDescent="0.2">
      <c r="A8" s="614" t="s">
        <v>64</v>
      </c>
      <c r="B8" s="614" t="s">
        <v>126</v>
      </c>
      <c r="C8" s="17" t="s">
        <v>198</v>
      </c>
      <c r="D8" s="243">
        <v>25</v>
      </c>
      <c r="E8" s="244">
        <v>847.77700000000004</v>
      </c>
      <c r="F8" s="245">
        <v>4233.2719999999999</v>
      </c>
      <c r="G8" s="246">
        <v>4.9933791551316</v>
      </c>
      <c r="H8" s="622">
        <v>23.7610711680734</v>
      </c>
    </row>
    <row r="9" spans="1:12" ht="25.5" x14ac:dyDescent="0.2">
      <c r="A9" s="614" t="s">
        <v>64</v>
      </c>
      <c r="B9" s="614" t="s">
        <v>126</v>
      </c>
      <c r="C9" s="17" t="s">
        <v>434</v>
      </c>
      <c r="D9" s="243">
        <v>6</v>
      </c>
      <c r="E9" s="244">
        <v>25.55</v>
      </c>
      <c r="F9" s="245">
        <v>114.96</v>
      </c>
      <c r="G9" s="246">
        <v>4.4994129158512699</v>
      </c>
      <c r="H9" s="622">
        <v>23.7610711680734</v>
      </c>
    </row>
    <row r="10" spans="1:12" x14ac:dyDescent="0.2">
      <c r="A10" s="614" t="s">
        <v>64</v>
      </c>
      <c r="B10" s="614" t="s">
        <v>127</v>
      </c>
      <c r="C10" s="17" t="s">
        <v>198</v>
      </c>
      <c r="D10" s="243">
        <v>26</v>
      </c>
      <c r="E10" s="244">
        <v>5481.4790000000003</v>
      </c>
      <c r="F10" s="245">
        <v>18768.548999999999</v>
      </c>
      <c r="G10" s="246">
        <v>3.4239935973484501</v>
      </c>
      <c r="H10" s="622">
        <v>10.6301032172271</v>
      </c>
    </row>
    <row r="11" spans="1:12" ht="25.5" x14ac:dyDescent="0.2">
      <c r="A11" s="614" t="s">
        <v>64</v>
      </c>
      <c r="B11" s="614" t="s">
        <v>127</v>
      </c>
      <c r="C11" s="17" t="s">
        <v>434</v>
      </c>
      <c r="D11" s="243">
        <v>4</v>
      </c>
      <c r="E11" s="244">
        <v>232.452</v>
      </c>
      <c r="F11" s="245">
        <v>743.78200000000004</v>
      </c>
      <c r="G11" s="246">
        <v>3.1997229535559999</v>
      </c>
      <c r="H11" s="622">
        <v>10.6301032172271</v>
      </c>
    </row>
    <row r="12" spans="1:12" ht="25.5" x14ac:dyDescent="0.2">
      <c r="A12" s="614" t="s">
        <v>64</v>
      </c>
      <c r="B12" s="17" t="s">
        <v>128</v>
      </c>
      <c r="C12" s="17" t="s">
        <v>198</v>
      </c>
      <c r="D12" s="243">
        <v>8</v>
      </c>
      <c r="E12" s="244">
        <v>90.186999999999998</v>
      </c>
      <c r="F12" s="245">
        <v>556.01700000000005</v>
      </c>
      <c r="G12" s="246">
        <v>6.1651568407863699</v>
      </c>
      <c r="H12" s="247">
        <v>3.51303402929469</v>
      </c>
    </row>
    <row r="13" spans="1:12" x14ac:dyDescent="0.2">
      <c r="A13" s="614" t="s">
        <v>64</v>
      </c>
      <c r="B13" s="614" t="s">
        <v>130</v>
      </c>
      <c r="C13" s="17" t="s">
        <v>198</v>
      </c>
      <c r="D13" s="243">
        <v>31</v>
      </c>
      <c r="E13" s="244">
        <v>1207.3599999999999</v>
      </c>
      <c r="F13" s="245">
        <v>6326.3450000000003</v>
      </c>
      <c r="G13" s="246">
        <v>5.2398166247018301</v>
      </c>
      <c r="H13" s="622">
        <v>18.990274212007801</v>
      </c>
    </row>
    <row r="14" spans="1:12" ht="25.5" x14ac:dyDescent="0.2">
      <c r="A14" s="614" t="s">
        <v>64</v>
      </c>
      <c r="B14" s="614" t="s">
        <v>130</v>
      </c>
      <c r="C14" s="17" t="s">
        <v>434</v>
      </c>
      <c r="D14" s="243">
        <v>4</v>
      </c>
      <c r="E14" s="244" t="s">
        <v>74</v>
      </c>
      <c r="F14" s="245" t="s">
        <v>74</v>
      </c>
      <c r="G14" s="246" t="s">
        <v>74</v>
      </c>
      <c r="H14" s="622">
        <v>18.990274212007801</v>
      </c>
    </row>
    <row r="15" spans="1:12" x14ac:dyDescent="0.2">
      <c r="A15" s="614" t="s">
        <v>64</v>
      </c>
      <c r="B15" s="614" t="s">
        <v>131</v>
      </c>
      <c r="C15" s="17" t="s">
        <v>198</v>
      </c>
      <c r="D15" s="243">
        <v>26</v>
      </c>
      <c r="E15" s="244">
        <v>6624.4803000000002</v>
      </c>
      <c r="F15" s="245">
        <v>21709.2811</v>
      </c>
      <c r="G15" s="246">
        <v>3.2771296942342798</v>
      </c>
      <c r="H15" s="622">
        <v>28.037862103877</v>
      </c>
    </row>
    <row r="16" spans="1:12" ht="25.5" x14ac:dyDescent="0.2">
      <c r="A16" s="614" t="s">
        <v>64</v>
      </c>
      <c r="B16" s="614" t="s">
        <v>131</v>
      </c>
      <c r="C16" s="17" t="s">
        <v>434</v>
      </c>
      <c r="D16" s="243">
        <v>7</v>
      </c>
      <c r="E16" s="244">
        <v>186.58500000000001</v>
      </c>
      <c r="F16" s="245">
        <v>772.87</v>
      </c>
      <c r="G16" s="246">
        <v>4.1421872069030199</v>
      </c>
      <c r="H16" s="622">
        <v>28.037862103877</v>
      </c>
    </row>
    <row r="17" spans="1:8" x14ac:dyDescent="0.2">
      <c r="A17" s="614" t="s">
        <v>64</v>
      </c>
      <c r="B17" s="614" t="s">
        <v>132</v>
      </c>
      <c r="C17" s="17" t="s">
        <v>198</v>
      </c>
      <c r="D17" s="243">
        <v>9</v>
      </c>
      <c r="E17" s="244">
        <v>214.7</v>
      </c>
      <c r="F17" s="245">
        <v>1182.2</v>
      </c>
      <c r="G17" s="246">
        <v>5.5062878435025597</v>
      </c>
      <c r="H17" s="622">
        <v>2.0143945808636698</v>
      </c>
    </row>
    <row r="18" spans="1:8" ht="25.5" x14ac:dyDescent="0.2">
      <c r="A18" s="614" t="s">
        <v>64</v>
      </c>
      <c r="B18" s="614" t="s">
        <v>132</v>
      </c>
      <c r="C18" s="17" t="s">
        <v>434</v>
      </c>
      <c r="D18" s="243">
        <v>2</v>
      </c>
      <c r="E18" s="244" t="s">
        <v>74</v>
      </c>
      <c r="F18" s="245" t="s">
        <v>74</v>
      </c>
      <c r="G18" s="246" t="s">
        <v>74</v>
      </c>
      <c r="H18" s="622">
        <v>2.0143945808636698</v>
      </c>
    </row>
    <row r="19" spans="1:8" x14ac:dyDescent="0.2">
      <c r="A19" s="614" t="s">
        <v>64</v>
      </c>
      <c r="B19" s="614" t="s">
        <v>133</v>
      </c>
      <c r="C19" s="17" t="s">
        <v>198</v>
      </c>
      <c r="D19" s="243">
        <v>29</v>
      </c>
      <c r="E19" s="244">
        <v>2290.607</v>
      </c>
      <c r="F19" s="245">
        <v>7757.07766886234</v>
      </c>
      <c r="G19" s="246">
        <v>3.3864725240350402</v>
      </c>
      <c r="H19" s="622">
        <v>8.8199526584536496</v>
      </c>
    </row>
    <row r="20" spans="1:8" ht="25.5" x14ac:dyDescent="0.2">
      <c r="A20" s="614" t="s">
        <v>64</v>
      </c>
      <c r="B20" s="614" t="s">
        <v>133</v>
      </c>
      <c r="C20" s="17" t="s">
        <v>434</v>
      </c>
      <c r="D20" s="243">
        <v>7</v>
      </c>
      <c r="E20" s="244">
        <v>171.501</v>
      </c>
      <c r="F20" s="245">
        <v>593.101</v>
      </c>
      <c r="G20" s="246">
        <v>3.4582947038209699</v>
      </c>
      <c r="H20" s="622">
        <v>8.8199526584536496</v>
      </c>
    </row>
    <row r="21" spans="1:8" x14ac:dyDescent="0.2">
      <c r="A21" s="614" t="s">
        <v>64</v>
      </c>
      <c r="B21" s="614" t="s">
        <v>134</v>
      </c>
      <c r="C21" s="17" t="s">
        <v>198</v>
      </c>
      <c r="D21" s="243">
        <v>70</v>
      </c>
      <c r="E21" s="244">
        <v>11073.076999999999</v>
      </c>
      <c r="F21" s="245">
        <v>37169.567900000002</v>
      </c>
      <c r="G21" s="246">
        <v>3.3567515063789402</v>
      </c>
      <c r="H21" s="622">
        <v>10.531405040209799</v>
      </c>
    </row>
    <row r="22" spans="1:8" ht="25.5" x14ac:dyDescent="0.2">
      <c r="A22" s="614" t="s">
        <v>64</v>
      </c>
      <c r="B22" s="614" t="s">
        <v>134</v>
      </c>
      <c r="C22" s="17" t="s">
        <v>434</v>
      </c>
      <c r="D22" s="243">
        <v>19</v>
      </c>
      <c r="E22" s="244">
        <v>1202.1659999999999</v>
      </c>
      <c r="F22" s="245">
        <v>4314.3869999999997</v>
      </c>
      <c r="G22" s="246">
        <v>3.5888446354330399</v>
      </c>
      <c r="H22" s="622">
        <v>10.531405040209799</v>
      </c>
    </row>
    <row r="23" spans="1:8" x14ac:dyDescent="0.2">
      <c r="A23" s="614" t="s">
        <v>64</v>
      </c>
      <c r="B23" s="614" t="s">
        <v>135</v>
      </c>
      <c r="C23" s="17" t="s">
        <v>198</v>
      </c>
      <c r="D23" s="243">
        <v>40</v>
      </c>
      <c r="E23" s="244">
        <v>3075.1550000000002</v>
      </c>
      <c r="F23" s="245">
        <v>11102.540999999999</v>
      </c>
      <c r="G23" s="246">
        <v>3.6104004513593599</v>
      </c>
      <c r="H23" s="622">
        <v>12.859132617443301</v>
      </c>
    </row>
    <row r="24" spans="1:8" ht="25.5" x14ac:dyDescent="0.2">
      <c r="A24" s="614" t="s">
        <v>64</v>
      </c>
      <c r="B24" s="614" t="s">
        <v>135</v>
      </c>
      <c r="C24" s="17" t="s">
        <v>434</v>
      </c>
      <c r="D24" s="243">
        <v>6</v>
      </c>
      <c r="E24" s="244">
        <v>112.02</v>
      </c>
      <c r="F24" s="245">
        <v>493.11700000000002</v>
      </c>
      <c r="G24" s="246">
        <v>4.4020442778075299</v>
      </c>
      <c r="H24" s="622">
        <v>12.859132617443301</v>
      </c>
    </row>
    <row r="25" spans="1:8" ht="25.5" x14ac:dyDescent="0.2">
      <c r="A25" s="614" t="s">
        <v>64</v>
      </c>
      <c r="B25" s="17" t="s">
        <v>111</v>
      </c>
      <c r="C25" s="17" t="s">
        <v>198</v>
      </c>
      <c r="D25" s="243">
        <v>6</v>
      </c>
      <c r="E25" s="244">
        <v>68.099999999999994</v>
      </c>
      <c r="F25" s="245">
        <v>299.10000000000002</v>
      </c>
      <c r="G25" s="246">
        <v>4.3920704845814997</v>
      </c>
      <c r="H25" s="247">
        <v>2.2760646108663698</v>
      </c>
    </row>
    <row r="26" spans="1:8" x14ac:dyDescent="0.2">
      <c r="A26" s="614" t="s">
        <v>64</v>
      </c>
      <c r="B26" s="614" t="s">
        <v>143</v>
      </c>
      <c r="C26" s="17" t="s">
        <v>198</v>
      </c>
      <c r="D26" s="243">
        <v>10</v>
      </c>
      <c r="E26" s="244">
        <v>324.33</v>
      </c>
      <c r="F26" s="245">
        <v>1682.6081683171201</v>
      </c>
      <c r="G26" s="246">
        <v>5.1879510631674997</v>
      </c>
      <c r="H26" s="622">
        <v>38.6454629231431</v>
      </c>
    </row>
    <row r="27" spans="1:8" ht="25.5" x14ac:dyDescent="0.2">
      <c r="A27" s="614" t="s">
        <v>64</v>
      </c>
      <c r="B27" s="614" t="s">
        <v>143</v>
      </c>
      <c r="C27" s="17" t="s">
        <v>434</v>
      </c>
      <c r="D27" s="243">
        <v>2</v>
      </c>
      <c r="E27" s="244" t="s">
        <v>74</v>
      </c>
      <c r="F27" s="245" t="s">
        <v>74</v>
      </c>
      <c r="G27" s="246" t="s">
        <v>74</v>
      </c>
      <c r="H27" s="622">
        <v>38.6454629231431</v>
      </c>
    </row>
    <row r="28" spans="1:8" ht="25.5" x14ac:dyDescent="0.2">
      <c r="A28" s="614" t="s">
        <v>435</v>
      </c>
      <c r="B28" s="17" t="s">
        <v>125</v>
      </c>
      <c r="C28" s="17" t="s">
        <v>198</v>
      </c>
      <c r="D28" s="243">
        <v>52</v>
      </c>
      <c r="E28" s="244">
        <v>855.14300000000003</v>
      </c>
      <c r="F28" s="245">
        <v>2650.1529999999998</v>
      </c>
      <c r="G28" s="246">
        <v>3.0990758270838898</v>
      </c>
      <c r="H28" s="247">
        <v>34.788691140316203</v>
      </c>
    </row>
    <row r="29" spans="1:8" ht="25.5" x14ac:dyDescent="0.2">
      <c r="A29" s="614" t="s">
        <v>435</v>
      </c>
      <c r="B29" s="17" t="s">
        <v>126</v>
      </c>
      <c r="C29" s="17" t="s">
        <v>198</v>
      </c>
      <c r="D29" s="243">
        <v>17</v>
      </c>
      <c r="E29" s="244">
        <v>209.495</v>
      </c>
      <c r="F29" s="245">
        <v>1147.905</v>
      </c>
      <c r="G29" s="246">
        <v>5.4793909162509804</v>
      </c>
      <c r="H29" s="247">
        <v>31.477869603054</v>
      </c>
    </row>
    <row r="30" spans="1:8" ht="25.5" x14ac:dyDescent="0.2">
      <c r="A30" s="614" t="s">
        <v>435</v>
      </c>
      <c r="B30" s="17" t="s">
        <v>128</v>
      </c>
      <c r="C30" s="17" t="s">
        <v>198</v>
      </c>
      <c r="D30" s="243">
        <v>37</v>
      </c>
      <c r="E30" s="244">
        <v>855.50400000000002</v>
      </c>
      <c r="F30" s="245">
        <v>3550.6559999999999</v>
      </c>
      <c r="G30" s="246">
        <v>4.1503675026650999</v>
      </c>
      <c r="H30" s="247">
        <v>36.567010434242597</v>
      </c>
    </row>
    <row r="31" spans="1:8" x14ac:dyDescent="0.2">
      <c r="A31" s="614" t="s">
        <v>435</v>
      </c>
      <c r="B31" s="17" t="s">
        <v>130</v>
      </c>
      <c r="C31" s="17" t="s">
        <v>198</v>
      </c>
      <c r="D31" s="243">
        <v>36</v>
      </c>
      <c r="E31" s="244">
        <v>794.53499999999997</v>
      </c>
      <c r="F31" s="245">
        <v>1926.625</v>
      </c>
      <c r="G31" s="246">
        <v>2.4248459790946901</v>
      </c>
      <c r="H31" s="247">
        <v>17.929468920770098</v>
      </c>
    </row>
    <row r="32" spans="1:8" ht="89.25" x14ac:dyDescent="0.2">
      <c r="A32" s="614" t="s">
        <v>435</v>
      </c>
      <c r="B32" s="17" t="s">
        <v>436</v>
      </c>
      <c r="C32" s="17" t="s">
        <v>198</v>
      </c>
      <c r="D32" s="243">
        <v>22</v>
      </c>
      <c r="E32" s="244">
        <v>198.07400000000001</v>
      </c>
      <c r="F32" s="245">
        <v>879.86099999999999</v>
      </c>
      <c r="G32" s="246">
        <v>4.4420822520875998</v>
      </c>
      <c r="H32" s="247">
        <v>51.380785638644902</v>
      </c>
    </row>
    <row r="33" spans="1:8" ht="25.5" x14ac:dyDescent="0.2">
      <c r="A33" s="614" t="s">
        <v>435</v>
      </c>
      <c r="B33" s="17" t="s">
        <v>134</v>
      </c>
      <c r="C33" s="17" t="s">
        <v>198</v>
      </c>
      <c r="D33" s="243">
        <v>35</v>
      </c>
      <c r="E33" s="244">
        <v>558.41499999999996</v>
      </c>
      <c r="F33" s="245">
        <v>2735.3879999999999</v>
      </c>
      <c r="G33" s="246">
        <v>4.8984858931081696</v>
      </c>
      <c r="H33" s="247">
        <v>22.299024097126001</v>
      </c>
    </row>
    <row r="34" spans="1:8" ht="51" x14ac:dyDescent="0.2">
      <c r="A34" s="614" t="s">
        <v>435</v>
      </c>
      <c r="B34" s="17" t="s">
        <v>437</v>
      </c>
      <c r="C34" s="17" t="s">
        <v>198</v>
      </c>
      <c r="D34" s="243">
        <v>15</v>
      </c>
      <c r="E34" s="244">
        <v>120.378</v>
      </c>
      <c r="F34" s="245">
        <v>509.279</v>
      </c>
      <c r="G34" s="246">
        <v>4.2306650716908401</v>
      </c>
      <c r="H34" s="247">
        <v>38.771477894362199</v>
      </c>
    </row>
    <row r="35" spans="1:8" ht="38.25" x14ac:dyDescent="0.2">
      <c r="A35" s="614" t="s">
        <v>413</v>
      </c>
      <c r="B35" s="17" t="s">
        <v>438</v>
      </c>
      <c r="C35" s="17" t="s">
        <v>198</v>
      </c>
      <c r="D35" s="243">
        <v>3</v>
      </c>
      <c r="E35" s="244">
        <v>154</v>
      </c>
      <c r="F35" s="245">
        <v>1052</v>
      </c>
      <c r="G35" s="246">
        <v>6.8311688311688297</v>
      </c>
      <c r="H35" s="247">
        <v>0.44155844155844198</v>
      </c>
    </row>
    <row r="36" spans="1:8" ht="25.5" x14ac:dyDescent="0.2">
      <c r="A36" s="614" t="s">
        <v>413</v>
      </c>
      <c r="B36" s="17" t="s">
        <v>134</v>
      </c>
      <c r="C36" s="17" t="s">
        <v>198</v>
      </c>
      <c r="D36" s="243">
        <v>4</v>
      </c>
      <c r="E36" s="244">
        <v>255.03</v>
      </c>
      <c r="F36" s="245">
        <v>717.31799999999998</v>
      </c>
      <c r="G36" s="246">
        <v>2.8126808610751701</v>
      </c>
      <c r="H36" s="247">
        <v>9.2825549935301694</v>
      </c>
    </row>
    <row r="37" spans="1:8" ht="76.5" x14ac:dyDescent="0.2">
      <c r="A37" s="614" t="s">
        <v>413</v>
      </c>
      <c r="B37" s="17" t="s">
        <v>439</v>
      </c>
      <c r="C37" s="17" t="s">
        <v>434</v>
      </c>
      <c r="D37" s="243">
        <v>4</v>
      </c>
      <c r="E37" s="244">
        <v>189.46100000000001</v>
      </c>
      <c r="F37" s="245">
        <v>1135.492</v>
      </c>
      <c r="G37" s="246">
        <v>5.9932756609539704</v>
      </c>
      <c r="H37" s="247" t="s">
        <v>60</v>
      </c>
    </row>
    <row r="38" spans="1:8" x14ac:dyDescent="0.2">
      <c r="A38" s="623" t="s">
        <v>38</v>
      </c>
      <c r="B38" s="623"/>
      <c r="C38" s="623"/>
      <c r="D38" s="624"/>
      <c r="E38" s="624"/>
      <c r="F38" s="624"/>
      <c r="G38" s="625"/>
      <c r="H38" s="625"/>
    </row>
    <row r="39" spans="1:8" x14ac:dyDescent="0.2">
      <c r="A39" s="614" t="s">
        <v>440</v>
      </c>
      <c r="B39" s="17" t="s">
        <v>127</v>
      </c>
      <c r="C39" s="17" t="s">
        <v>198</v>
      </c>
      <c r="D39" s="243">
        <v>4</v>
      </c>
      <c r="E39" s="244">
        <v>126.02200000000001</v>
      </c>
      <c r="F39" s="245">
        <v>820.66</v>
      </c>
      <c r="G39" s="246">
        <v>6.5120375807398698</v>
      </c>
      <c r="H39" s="247">
        <v>6.76242243417816</v>
      </c>
    </row>
    <row r="40" spans="1:8" x14ac:dyDescent="0.2">
      <c r="A40" s="614" t="s">
        <v>440</v>
      </c>
      <c r="B40" s="17" t="s">
        <v>129</v>
      </c>
      <c r="C40" s="17" t="s">
        <v>198</v>
      </c>
      <c r="D40" s="243">
        <v>6</v>
      </c>
      <c r="E40" s="244">
        <v>938.5</v>
      </c>
      <c r="F40" s="245">
        <v>7611.45</v>
      </c>
      <c r="G40" s="246">
        <v>8.1102290889717601</v>
      </c>
      <c r="H40" s="247">
        <v>1.27224294086308</v>
      </c>
    </row>
    <row r="41" spans="1:8" ht="38.25" x14ac:dyDescent="0.2">
      <c r="A41" s="614" t="s">
        <v>440</v>
      </c>
      <c r="B41" s="17" t="s">
        <v>441</v>
      </c>
      <c r="C41" s="17" t="s">
        <v>198</v>
      </c>
      <c r="D41" s="243">
        <v>4</v>
      </c>
      <c r="E41" s="244">
        <v>2038.934</v>
      </c>
      <c r="F41" s="245">
        <v>18640.287</v>
      </c>
      <c r="G41" s="246">
        <v>9.1421728216803508</v>
      </c>
      <c r="H41" s="247">
        <v>15.8866103561959</v>
      </c>
    </row>
    <row r="42" spans="1:8" ht="51" x14ac:dyDescent="0.2">
      <c r="A42" s="614" t="s">
        <v>440</v>
      </c>
      <c r="B42" s="17" t="s">
        <v>442</v>
      </c>
      <c r="C42" s="17" t="s">
        <v>198</v>
      </c>
      <c r="D42" s="243">
        <v>5</v>
      </c>
      <c r="E42" s="244">
        <v>396.30099999999999</v>
      </c>
      <c r="F42" s="245">
        <v>5439.085</v>
      </c>
      <c r="G42" s="246">
        <v>13.724631025407501</v>
      </c>
      <c r="H42" s="247">
        <v>1.9985541293108</v>
      </c>
    </row>
    <row r="43" spans="1:8" ht="51" x14ac:dyDescent="0.2">
      <c r="A43" s="614" t="s">
        <v>440</v>
      </c>
      <c r="B43" s="17" t="s">
        <v>443</v>
      </c>
      <c r="C43" s="17" t="s">
        <v>198</v>
      </c>
      <c r="D43" s="243">
        <v>9</v>
      </c>
      <c r="E43" s="244">
        <v>942.66700000000003</v>
      </c>
      <c r="F43" s="245">
        <v>8019.8196666666699</v>
      </c>
      <c r="G43" s="246">
        <v>8.5075850397506905</v>
      </c>
      <c r="H43" s="247">
        <v>9.2483602374963798</v>
      </c>
    </row>
    <row r="44" spans="1:8" ht="12.75" customHeight="1" x14ac:dyDescent="0.2">
      <c r="A44" s="623" t="s">
        <v>444</v>
      </c>
      <c r="B44" s="623"/>
      <c r="C44" s="623"/>
      <c r="D44" s="624"/>
      <c r="E44" s="624"/>
      <c r="F44" s="624"/>
      <c r="G44" s="625"/>
      <c r="H44" s="625"/>
    </row>
    <row r="45" spans="1:8" ht="51" x14ac:dyDescent="0.2">
      <c r="A45" s="573" t="s">
        <v>445</v>
      </c>
      <c r="B45" s="573" t="s">
        <v>446</v>
      </c>
      <c r="C45" s="573" t="s">
        <v>198</v>
      </c>
      <c r="D45" s="574">
        <v>8</v>
      </c>
      <c r="E45" s="574">
        <v>39.863999999999997</v>
      </c>
      <c r="F45" s="574">
        <v>23537.178</v>
      </c>
      <c r="G45" s="575">
        <v>590.43693558097505</v>
      </c>
      <c r="H45" s="575" t="s">
        <v>60</v>
      </c>
    </row>
    <row r="46" spans="1:8" ht="25.5" x14ac:dyDescent="0.2">
      <c r="A46" s="614" t="s">
        <v>447</v>
      </c>
      <c r="B46" s="17" t="s">
        <v>125</v>
      </c>
      <c r="C46" s="17" t="s">
        <v>198</v>
      </c>
      <c r="D46" s="243">
        <v>4</v>
      </c>
      <c r="E46" s="244">
        <v>2.0640000000000001</v>
      </c>
      <c r="F46" s="245">
        <v>41.976999999999997</v>
      </c>
      <c r="G46" s="246">
        <v>20.3376937984496</v>
      </c>
      <c r="H46" s="247" t="s">
        <v>60</v>
      </c>
    </row>
    <row r="47" spans="1:8" x14ac:dyDescent="0.2">
      <c r="A47" s="614" t="s">
        <v>447</v>
      </c>
      <c r="B47" s="17" t="s">
        <v>127</v>
      </c>
      <c r="C47" s="17" t="s">
        <v>198</v>
      </c>
      <c r="D47" s="243">
        <v>9</v>
      </c>
      <c r="E47" s="244">
        <v>35.466000000000001</v>
      </c>
      <c r="F47" s="245">
        <v>699.07500000000005</v>
      </c>
      <c r="G47" s="246">
        <v>19.711131788191501</v>
      </c>
      <c r="H47" s="247" t="s">
        <v>60</v>
      </c>
    </row>
    <row r="48" spans="1:8" ht="38.25" x14ac:dyDescent="0.2">
      <c r="A48" s="614" t="s">
        <v>447</v>
      </c>
      <c r="B48" s="17" t="s">
        <v>140</v>
      </c>
      <c r="C48" s="17" t="s">
        <v>198</v>
      </c>
      <c r="D48" s="243">
        <v>6</v>
      </c>
      <c r="E48" s="244">
        <v>0.72099999999999997</v>
      </c>
      <c r="F48" s="245">
        <v>27.283000000000001</v>
      </c>
      <c r="G48" s="246">
        <v>37.840499306518701</v>
      </c>
      <c r="H48" s="247" t="s">
        <v>60</v>
      </c>
    </row>
    <row r="49" spans="1:8" x14ac:dyDescent="0.2">
      <c r="A49" s="614" t="s">
        <v>447</v>
      </c>
      <c r="B49" s="17" t="s">
        <v>133</v>
      </c>
      <c r="C49" s="17" t="s">
        <v>198</v>
      </c>
      <c r="D49" s="243">
        <v>3</v>
      </c>
      <c r="E49" s="244">
        <v>1.81</v>
      </c>
      <c r="F49" s="245">
        <v>34</v>
      </c>
      <c r="G49" s="246">
        <v>18.7845303867403</v>
      </c>
      <c r="H49" s="247" t="s">
        <v>60</v>
      </c>
    </row>
    <row r="50" spans="1:8" ht="25.5" x14ac:dyDescent="0.2">
      <c r="A50" s="614" t="s">
        <v>447</v>
      </c>
      <c r="B50" s="17" t="s">
        <v>134</v>
      </c>
      <c r="C50" s="17" t="s">
        <v>198</v>
      </c>
      <c r="D50" s="243">
        <v>17</v>
      </c>
      <c r="E50" s="244">
        <v>64.184399999999997</v>
      </c>
      <c r="F50" s="245">
        <v>1095.481</v>
      </c>
      <c r="G50" s="246">
        <v>17.0677142732502</v>
      </c>
      <c r="H50" s="247" t="s">
        <v>60</v>
      </c>
    </row>
    <row r="51" spans="1:8" x14ac:dyDescent="0.2">
      <c r="A51" s="614" t="s">
        <v>447</v>
      </c>
      <c r="B51" s="17" t="s">
        <v>135</v>
      </c>
      <c r="C51" s="17" t="s">
        <v>198</v>
      </c>
      <c r="D51" s="243">
        <v>6</v>
      </c>
      <c r="E51" s="244">
        <v>12.487</v>
      </c>
      <c r="F51" s="245">
        <v>284.57499999999999</v>
      </c>
      <c r="G51" s="246">
        <v>22.789701289340901</v>
      </c>
      <c r="H51" s="247" t="s">
        <v>60</v>
      </c>
    </row>
    <row r="52" spans="1:8" x14ac:dyDescent="0.2">
      <c r="A52" s="608" t="s">
        <v>212</v>
      </c>
      <c r="B52" s="609"/>
      <c r="C52" s="609"/>
      <c r="D52" s="609"/>
      <c r="E52" s="609"/>
      <c r="F52" s="609"/>
      <c r="G52" s="609"/>
      <c r="H52" s="609"/>
    </row>
    <row r="53" spans="1:8" ht="29.25" customHeight="1" x14ac:dyDescent="0.2">
      <c r="A53" s="608" t="s">
        <v>448</v>
      </c>
      <c r="B53" s="609"/>
      <c r="C53" s="609"/>
      <c r="D53" s="609"/>
      <c r="E53" s="609"/>
      <c r="F53" s="609"/>
      <c r="G53" s="609"/>
      <c r="H53" s="609"/>
    </row>
    <row r="54" spans="1:8" x14ac:dyDescent="0.2">
      <c r="A54" s="608" t="s">
        <v>45</v>
      </c>
      <c r="B54" s="609"/>
      <c r="C54" s="609"/>
      <c r="D54" s="609"/>
      <c r="E54" s="609"/>
      <c r="F54" s="609"/>
      <c r="G54" s="609"/>
      <c r="H54" s="609"/>
    </row>
    <row r="55" spans="1:8" ht="29.25" customHeight="1" x14ac:dyDescent="0.2">
      <c r="A55" s="608" t="s">
        <v>449</v>
      </c>
      <c r="B55" s="609"/>
      <c r="C55" s="609"/>
      <c r="D55" s="609"/>
      <c r="E55" s="609"/>
      <c r="F55" s="609"/>
      <c r="G55" s="609"/>
      <c r="H55" s="609"/>
    </row>
    <row r="56" spans="1:8" ht="13.5" customHeight="1" x14ac:dyDescent="0.2">
      <c r="A56" s="608" t="s">
        <v>450</v>
      </c>
      <c r="B56" s="609"/>
      <c r="C56" s="609"/>
      <c r="D56" s="609"/>
      <c r="E56" s="609"/>
      <c r="F56" s="609"/>
      <c r="G56" s="609"/>
      <c r="H56" s="609"/>
    </row>
    <row r="57" spans="1:8" x14ac:dyDescent="0.2">
      <c r="A57" s="608" t="s">
        <v>45</v>
      </c>
      <c r="B57" s="609"/>
      <c r="C57" s="609"/>
      <c r="D57" s="609"/>
      <c r="E57" s="609"/>
      <c r="F57" s="609"/>
      <c r="G57" s="609"/>
      <c r="H57" s="609"/>
    </row>
    <row r="58" spans="1:8" x14ac:dyDescent="0.2">
      <c r="A58" s="610" t="s">
        <v>430</v>
      </c>
      <c r="B58" s="609"/>
      <c r="C58" s="609"/>
      <c r="D58" s="609"/>
      <c r="E58" s="609"/>
      <c r="F58" s="609"/>
      <c r="G58" s="609"/>
      <c r="H58" s="609"/>
    </row>
  </sheetData>
  <mergeCells count="38">
    <mergeCell ref="J1:L2"/>
    <mergeCell ref="A1:H1"/>
    <mergeCell ref="A4:B4"/>
    <mergeCell ref="A52:H52"/>
    <mergeCell ref="A53:H53"/>
    <mergeCell ref="A5:H5"/>
    <mergeCell ref="A38:H38"/>
    <mergeCell ref="A44:H44"/>
    <mergeCell ref="A6:A27"/>
    <mergeCell ref="A28:A34"/>
    <mergeCell ref="A35:A37"/>
    <mergeCell ref="A39:A43"/>
    <mergeCell ref="A46:A51"/>
    <mergeCell ref="B6:B7"/>
    <mergeCell ref="H6:H7"/>
    <mergeCell ref="B8:B9"/>
    <mergeCell ref="A54:H54"/>
    <mergeCell ref="A55:H55"/>
    <mergeCell ref="A56:H56"/>
    <mergeCell ref="A57:H57"/>
    <mergeCell ref="A58:H58"/>
    <mergeCell ref="H8:H9"/>
    <mergeCell ref="B10:B11"/>
    <mergeCell ref="H10:H11"/>
    <mergeCell ref="B13:B14"/>
    <mergeCell ref="H13:H14"/>
    <mergeCell ref="B15:B16"/>
    <mergeCell ref="H15:H16"/>
    <mergeCell ref="B17:B18"/>
    <mergeCell ref="H17:H18"/>
    <mergeCell ref="B19:B20"/>
    <mergeCell ref="H19:H20"/>
    <mergeCell ref="B21:B22"/>
    <mergeCell ref="H21:H22"/>
    <mergeCell ref="B23:B24"/>
    <mergeCell ref="H23:H24"/>
    <mergeCell ref="B26:B27"/>
    <mergeCell ref="H26:H27"/>
  </mergeCells>
  <pageMargins left="0.6" right="0.79" top="0.79" bottom="1.06" header="0.3" footer="0.3"/>
  <pageSetup paperSize="9" fitToWidth="0" fitToHeight="0"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H1" sqref="H1:J2"/>
    </sheetView>
  </sheetViews>
  <sheetFormatPr baseColWidth="10" defaultColWidth="9.140625" defaultRowHeight="12.75" x14ac:dyDescent="0.2"/>
  <cols>
    <col min="1" max="2" width="16.7109375" customWidth="1"/>
    <col min="3" max="3" width="12.7109375" customWidth="1"/>
    <col min="4" max="4" width="11.7109375" customWidth="1"/>
    <col min="5" max="6" width="9.7109375" customWidth="1"/>
  </cols>
  <sheetData>
    <row r="1" spans="1:10" ht="15" customHeight="1" x14ac:dyDescent="0.2">
      <c r="A1" s="612" t="s">
        <v>451</v>
      </c>
      <c r="B1" s="609"/>
      <c r="C1" s="609"/>
      <c r="D1" s="609"/>
      <c r="E1" s="609"/>
      <c r="F1" s="609"/>
      <c r="H1" s="611" t="str">
        <f>HYPERLINK("#'sommaire'!A1", "Retour sommaire")</f>
        <v>Retour sommaire</v>
      </c>
      <c r="I1" s="609"/>
      <c r="J1" s="609"/>
    </row>
    <row r="2" spans="1:10" x14ac:dyDescent="0.2">
      <c r="H2" s="609"/>
      <c r="I2" s="609"/>
      <c r="J2" s="609"/>
    </row>
    <row r="3" spans="1:10" ht="25.5" x14ac:dyDescent="0.2">
      <c r="A3" s="4" t="s">
        <v>19</v>
      </c>
      <c r="B3" s="4" t="s">
        <v>192</v>
      </c>
      <c r="C3" s="4" t="s">
        <v>20</v>
      </c>
      <c r="D3" s="4" t="s">
        <v>234</v>
      </c>
      <c r="E3" s="4" t="s">
        <v>22</v>
      </c>
      <c r="F3" s="4" t="s">
        <v>23</v>
      </c>
    </row>
    <row r="4" spans="1:10" ht="76.5" x14ac:dyDescent="0.2">
      <c r="A4" s="613"/>
      <c r="B4" s="613"/>
      <c r="C4" s="5" t="s">
        <v>24</v>
      </c>
      <c r="D4" s="5" t="s">
        <v>452</v>
      </c>
      <c r="E4" s="5" t="s">
        <v>26</v>
      </c>
      <c r="F4" s="5" t="s">
        <v>453</v>
      </c>
    </row>
    <row r="5" spans="1:10" x14ac:dyDescent="0.2">
      <c r="A5" s="614" t="s">
        <v>64</v>
      </c>
      <c r="B5" s="17" t="s">
        <v>454</v>
      </c>
      <c r="C5" s="248">
        <v>55</v>
      </c>
      <c r="D5" s="249">
        <v>23.0213</v>
      </c>
      <c r="E5" s="250">
        <v>3404.056</v>
      </c>
      <c r="F5" s="251">
        <v>147.865498473153</v>
      </c>
    </row>
    <row r="6" spans="1:10" x14ac:dyDescent="0.2">
      <c r="A6" s="614" t="s">
        <v>64</v>
      </c>
      <c r="B6" s="17" t="s">
        <v>455</v>
      </c>
      <c r="C6" s="248">
        <v>27</v>
      </c>
      <c r="D6" s="249">
        <v>253.75368</v>
      </c>
      <c r="E6" s="250">
        <v>3100.7750000000001</v>
      </c>
      <c r="F6" s="251">
        <v>12.2196257409942</v>
      </c>
    </row>
    <row r="7" spans="1:10" ht="38.25" x14ac:dyDescent="0.2">
      <c r="A7" s="614" t="s">
        <v>64</v>
      </c>
      <c r="B7" s="17" t="s">
        <v>974</v>
      </c>
      <c r="C7" s="248">
        <v>4</v>
      </c>
      <c r="D7" s="249">
        <v>8.6869999999999994</v>
      </c>
      <c r="E7" s="250">
        <v>451.50900000000001</v>
      </c>
      <c r="F7" s="251">
        <v>51.975250374122297</v>
      </c>
    </row>
    <row r="8" spans="1:10" x14ac:dyDescent="0.2">
      <c r="A8" s="614" t="s">
        <v>456</v>
      </c>
      <c r="B8" s="17" t="s">
        <v>454</v>
      </c>
      <c r="C8" s="248">
        <v>4</v>
      </c>
      <c r="D8" s="249">
        <v>3.75</v>
      </c>
      <c r="E8" s="250">
        <v>1204</v>
      </c>
      <c r="F8" s="251">
        <v>321.066666666667</v>
      </c>
    </row>
    <row r="9" spans="1:10" ht="25.5" x14ac:dyDescent="0.2">
      <c r="A9" s="614" t="s">
        <v>456</v>
      </c>
      <c r="B9" s="17" t="s">
        <v>457</v>
      </c>
      <c r="C9" s="248">
        <v>14</v>
      </c>
      <c r="D9" s="249">
        <v>27.32</v>
      </c>
      <c r="E9" s="250">
        <v>205.97300000000001</v>
      </c>
      <c r="F9" s="251">
        <v>7.5392752562225498</v>
      </c>
    </row>
    <row r="10" spans="1:10" x14ac:dyDescent="0.2">
      <c r="A10" s="614" t="s">
        <v>456</v>
      </c>
      <c r="B10" s="17" t="s">
        <v>458</v>
      </c>
      <c r="C10" s="248">
        <v>13</v>
      </c>
      <c r="D10" s="249">
        <v>2.7550599999999998</v>
      </c>
      <c r="E10" s="250">
        <v>192.78700000000001</v>
      </c>
      <c r="F10" s="251">
        <v>69.975608516692901</v>
      </c>
    </row>
    <row r="11" spans="1:10" ht="25.5" x14ac:dyDescent="0.2">
      <c r="A11" s="17" t="s">
        <v>38</v>
      </c>
      <c r="B11" s="17" t="s">
        <v>1020</v>
      </c>
      <c r="C11" s="248">
        <v>5</v>
      </c>
      <c r="D11" s="249">
        <v>305.952001</v>
      </c>
      <c r="E11" s="250">
        <v>28216.955999999998</v>
      </c>
      <c r="F11" s="251">
        <v>92.226741148197306</v>
      </c>
    </row>
    <row r="12" spans="1:10" x14ac:dyDescent="0.2">
      <c r="A12" s="608" t="s">
        <v>212</v>
      </c>
      <c r="B12" s="609"/>
      <c r="C12" s="609"/>
      <c r="D12" s="609"/>
      <c r="E12" s="609"/>
      <c r="F12" s="609"/>
    </row>
    <row r="13" spans="1:10" s="577" customFormat="1" ht="31.5" customHeight="1" x14ac:dyDescent="0.2">
      <c r="A13" s="627" t="s">
        <v>975</v>
      </c>
      <c r="B13" s="627"/>
      <c r="C13" s="627"/>
      <c r="D13" s="627"/>
      <c r="E13" s="627"/>
      <c r="F13" s="627"/>
    </row>
    <row r="14" spans="1:10" x14ac:dyDescent="0.2">
      <c r="A14" s="608" t="s">
        <v>45</v>
      </c>
      <c r="B14" s="609"/>
      <c r="C14" s="609"/>
      <c r="D14" s="609"/>
      <c r="E14" s="609"/>
      <c r="F14" s="609"/>
    </row>
    <row r="15" spans="1:10" ht="27.75" customHeight="1" x14ac:dyDescent="0.2">
      <c r="A15" s="608" t="s">
        <v>460</v>
      </c>
      <c r="B15" s="609"/>
      <c r="C15" s="609"/>
      <c r="D15" s="609"/>
      <c r="E15" s="609"/>
      <c r="F15" s="609"/>
    </row>
    <row r="16" spans="1:10" x14ac:dyDescent="0.2">
      <c r="A16" s="608" t="s">
        <v>45</v>
      </c>
      <c r="B16" s="609"/>
      <c r="C16" s="609"/>
      <c r="D16" s="609"/>
      <c r="E16" s="609"/>
      <c r="F16" s="609"/>
    </row>
    <row r="17" spans="1:6" x14ac:dyDescent="0.2">
      <c r="A17" s="610" t="s">
        <v>430</v>
      </c>
      <c r="B17" s="609"/>
      <c r="C17" s="609"/>
      <c r="D17" s="609"/>
      <c r="E17" s="609"/>
      <c r="F17" s="609"/>
    </row>
  </sheetData>
  <mergeCells count="11">
    <mergeCell ref="H1:J2"/>
    <mergeCell ref="A1:F1"/>
    <mergeCell ref="A4:B4"/>
    <mergeCell ref="A12:F12"/>
    <mergeCell ref="A14:F14"/>
    <mergeCell ref="A13:F13"/>
    <mergeCell ref="A15:F15"/>
    <mergeCell ref="A16:F16"/>
    <mergeCell ref="A17:F17"/>
    <mergeCell ref="A5:A7"/>
    <mergeCell ref="A8:A10"/>
  </mergeCells>
  <pageMargins left="0.6" right="0.79" top="0.79" bottom="1.06" header="0.3" footer="0.3"/>
  <pageSetup paperSize="9" fitToWidth="0" fitToHeight="0"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sqref="A1:C1"/>
    </sheetView>
  </sheetViews>
  <sheetFormatPr baseColWidth="10" defaultColWidth="9.140625" defaultRowHeight="12.75" x14ac:dyDescent="0.2"/>
  <cols>
    <col min="1" max="1" width="43.7109375" customWidth="1"/>
    <col min="2" max="3" width="20.7109375" customWidth="1"/>
  </cols>
  <sheetData>
    <row r="1" spans="1:7" ht="39" customHeight="1" x14ac:dyDescent="0.2">
      <c r="A1" s="612" t="s">
        <v>461</v>
      </c>
      <c r="B1" s="609"/>
      <c r="C1" s="609"/>
      <c r="E1" s="611" t="str">
        <f>HYPERLINK("#'sommaire'!A1", "Retour sommaire")</f>
        <v>Retour sommaire</v>
      </c>
      <c r="F1" s="609"/>
      <c r="G1" s="609"/>
    </row>
    <row r="2" spans="1:7" x14ac:dyDescent="0.2">
      <c r="E2" s="609"/>
      <c r="F2" s="609"/>
      <c r="G2" s="609"/>
    </row>
    <row r="3" spans="1:7" ht="25.5" x14ac:dyDescent="0.2">
      <c r="A3" s="4" t="s">
        <v>432</v>
      </c>
      <c r="B3" s="4" t="s">
        <v>20</v>
      </c>
      <c r="C3" s="4" t="s">
        <v>22</v>
      </c>
    </row>
    <row r="4" spans="1:7" x14ac:dyDescent="0.2">
      <c r="A4" s="5"/>
      <c r="B4" s="5" t="s">
        <v>24</v>
      </c>
      <c r="C4" s="5" t="s">
        <v>26</v>
      </c>
    </row>
    <row r="5" spans="1:7" x14ac:dyDescent="0.2">
      <c r="A5" s="17" t="s">
        <v>125</v>
      </c>
      <c r="B5" s="252">
        <v>91</v>
      </c>
      <c r="C5" s="253">
        <v>23492.907761980499</v>
      </c>
    </row>
    <row r="6" spans="1:7" x14ac:dyDescent="0.2">
      <c r="A6" s="17" t="s">
        <v>126</v>
      </c>
      <c r="B6" s="252">
        <v>43</v>
      </c>
      <c r="C6" s="253">
        <v>5995.232</v>
      </c>
    </row>
    <row r="7" spans="1:7" x14ac:dyDescent="0.2">
      <c r="A7" s="17" t="s">
        <v>127</v>
      </c>
      <c r="B7" s="252">
        <v>32</v>
      </c>
      <c r="C7" s="253">
        <v>22869.782999999999</v>
      </c>
    </row>
    <row r="8" spans="1:7" x14ac:dyDescent="0.2">
      <c r="A8" s="17" t="s">
        <v>128</v>
      </c>
      <c r="B8" s="252">
        <v>44</v>
      </c>
      <c r="C8" s="253">
        <v>5620.0749999999998</v>
      </c>
    </row>
    <row r="9" spans="1:7" x14ac:dyDescent="0.2">
      <c r="A9" s="17" t="s">
        <v>129</v>
      </c>
      <c r="B9" s="252">
        <v>7</v>
      </c>
      <c r="C9" s="253">
        <v>7631.1127619805402</v>
      </c>
    </row>
    <row r="10" spans="1:7" x14ac:dyDescent="0.2">
      <c r="A10" s="17" t="s">
        <v>130</v>
      </c>
      <c r="B10" s="252">
        <v>68</v>
      </c>
      <c r="C10" s="253">
        <v>10997.463</v>
      </c>
    </row>
    <row r="11" spans="1:7" x14ac:dyDescent="0.2">
      <c r="A11" s="17" t="s">
        <v>131</v>
      </c>
      <c r="B11" s="252">
        <v>30</v>
      </c>
      <c r="C11" s="253">
        <v>43326.025099999999</v>
      </c>
    </row>
    <row r="12" spans="1:7" x14ac:dyDescent="0.2">
      <c r="A12" s="17" t="s">
        <v>132</v>
      </c>
      <c r="B12" s="252">
        <v>11</v>
      </c>
      <c r="C12" s="253">
        <v>1277</v>
      </c>
    </row>
    <row r="13" spans="1:7" x14ac:dyDescent="0.2">
      <c r="A13" s="17" t="s">
        <v>133</v>
      </c>
      <c r="B13" s="252">
        <v>34</v>
      </c>
      <c r="C13" s="253">
        <v>12470.576668862301</v>
      </c>
    </row>
    <row r="14" spans="1:7" x14ac:dyDescent="0.2">
      <c r="A14" s="17" t="s">
        <v>134</v>
      </c>
      <c r="B14" s="252">
        <v>113</v>
      </c>
      <c r="C14" s="253">
        <v>85348.669899999994</v>
      </c>
    </row>
    <row r="15" spans="1:7" x14ac:dyDescent="0.2">
      <c r="A15" s="17" t="s">
        <v>135</v>
      </c>
      <c r="B15" s="252">
        <v>58</v>
      </c>
      <c r="C15" s="253">
        <v>23525.547999999999</v>
      </c>
    </row>
    <row r="16" spans="1:7" x14ac:dyDescent="0.2">
      <c r="A16" s="17" t="s">
        <v>111</v>
      </c>
      <c r="B16" s="252">
        <v>21</v>
      </c>
      <c r="C16" s="253">
        <v>7500.6880000000001</v>
      </c>
    </row>
    <row r="17" spans="1:3" x14ac:dyDescent="0.2">
      <c r="A17" s="17" t="s">
        <v>136</v>
      </c>
      <c r="B17" s="252">
        <v>18</v>
      </c>
      <c r="C17" s="253">
        <v>7822.1373666666695</v>
      </c>
    </row>
    <row r="18" spans="1:3" ht="30.75" customHeight="1" x14ac:dyDescent="0.2">
      <c r="A18" s="608" t="s">
        <v>462</v>
      </c>
      <c r="B18" s="609"/>
      <c r="C18" s="609"/>
    </row>
    <row r="19" spans="1:3" ht="27.75" customHeight="1" x14ac:dyDescent="0.2">
      <c r="A19" s="608" t="s">
        <v>463</v>
      </c>
      <c r="B19" s="609"/>
      <c r="C19" s="609"/>
    </row>
    <row r="20" spans="1:3" x14ac:dyDescent="0.2">
      <c r="A20" s="610" t="s">
        <v>430</v>
      </c>
      <c r="B20" s="609"/>
      <c r="C20" s="609"/>
    </row>
  </sheetData>
  <mergeCells count="5">
    <mergeCell ref="E1:G2"/>
    <mergeCell ref="A1:C1"/>
    <mergeCell ref="A18:C18"/>
    <mergeCell ref="A19:C19"/>
    <mergeCell ref="A20:C20"/>
  </mergeCells>
  <pageMargins left="0.6" right="0.79" top="0.79" bottom="1.06" header="0.3" footer="0.3"/>
  <pageSetup paperSize="9" fitToWidth="0" fitToHeight="0"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G1" sqref="G1:I2"/>
    </sheetView>
  </sheetViews>
  <sheetFormatPr baseColWidth="10" defaultColWidth="9.140625" defaultRowHeight="12.75" x14ac:dyDescent="0.2"/>
  <cols>
    <col min="1" max="1" width="35.7109375" customWidth="1"/>
    <col min="2" max="5" width="12.7109375" customWidth="1"/>
  </cols>
  <sheetData>
    <row r="1" spans="1:9" ht="15" customHeight="1" x14ac:dyDescent="0.2">
      <c r="A1" s="612" t="s">
        <v>464</v>
      </c>
      <c r="B1" s="609"/>
      <c r="C1" s="609"/>
      <c r="D1" s="609"/>
      <c r="E1" s="609"/>
      <c r="G1" s="611" t="str">
        <f>HYPERLINK("#'sommaire'!A1", "Retour sommaire")</f>
        <v>Retour sommaire</v>
      </c>
      <c r="H1" s="609"/>
      <c r="I1" s="609"/>
    </row>
    <row r="2" spans="1:9" x14ac:dyDescent="0.2">
      <c r="G2" s="609"/>
      <c r="H2" s="609"/>
      <c r="I2" s="609"/>
    </row>
    <row r="3" spans="1:9" ht="76.5" x14ac:dyDescent="0.2">
      <c r="A3" s="4" t="s">
        <v>465</v>
      </c>
      <c r="B3" s="4" t="s">
        <v>466</v>
      </c>
      <c r="C3" s="4" t="s">
        <v>467</v>
      </c>
      <c r="D3" s="4" t="s">
        <v>71</v>
      </c>
      <c r="E3" s="4" t="s">
        <v>72</v>
      </c>
    </row>
    <row r="4" spans="1:9" x14ac:dyDescent="0.2">
      <c r="A4" s="17" t="s">
        <v>468</v>
      </c>
      <c r="B4" s="255">
        <v>258</v>
      </c>
      <c r="C4" s="257">
        <v>8</v>
      </c>
      <c r="D4" s="259">
        <v>204</v>
      </c>
      <c r="E4" s="261">
        <v>23</v>
      </c>
    </row>
    <row r="5" spans="1:9" ht="25.5" x14ac:dyDescent="0.2">
      <c r="A5" s="17" t="s">
        <v>469</v>
      </c>
      <c r="B5" s="255">
        <v>49</v>
      </c>
      <c r="C5" s="257"/>
      <c r="D5" s="259">
        <v>3</v>
      </c>
      <c r="E5" s="261">
        <v>3</v>
      </c>
    </row>
    <row r="6" spans="1:9" x14ac:dyDescent="0.2">
      <c r="A6" s="17" t="s">
        <v>470</v>
      </c>
      <c r="B6" s="255">
        <v>6</v>
      </c>
      <c r="C6" s="257">
        <v>1</v>
      </c>
      <c r="D6" s="259">
        <v>1</v>
      </c>
      <c r="E6" s="261">
        <v>2</v>
      </c>
    </row>
    <row r="7" spans="1:9" x14ac:dyDescent="0.2">
      <c r="A7" s="17" t="s">
        <v>471</v>
      </c>
      <c r="B7" s="255">
        <v>3</v>
      </c>
      <c r="C7" s="257"/>
      <c r="D7" s="259"/>
      <c r="E7" s="261"/>
    </row>
    <row r="8" spans="1:9" x14ac:dyDescent="0.2">
      <c r="A8" s="17" t="s">
        <v>472</v>
      </c>
      <c r="B8" s="255">
        <v>8</v>
      </c>
      <c r="C8" s="257">
        <v>1</v>
      </c>
      <c r="D8" s="259"/>
      <c r="E8" s="261"/>
    </row>
    <row r="9" spans="1:9" x14ac:dyDescent="0.2">
      <c r="A9" s="6" t="s">
        <v>75</v>
      </c>
      <c r="B9" s="254">
        <v>324</v>
      </c>
      <c r="C9" s="256">
        <v>10</v>
      </c>
      <c r="D9" s="258">
        <v>208</v>
      </c>
      <c r="E9" s="260">
        <v>28</v>
      </c>
    </row>
    <row r="10" spans="1:9" x14ac:dyDescent="0.2">
      <c r="A10" s="608" t="s">
        <v>473</v>
      </c>
      <c r="B10" s="609"/>
      <c r="C10" s="609"/>
      <c r="D10" s="609"/>
      <c r="E10" s="609"/>
    </row>
    <row r="11" spans="1:9" x14ac:dyDescent="0.2">
      <c r="A11" s="608" t="s">
        <v>474</v>
      </c>
      <c r="B11" s="609"/>
      <c r="C11" s="609"/>
      <c r="D11" s="609"/>
      <c r="E11" s="609"/>
    </row>
    <row r="12" spans="1:9" x14ac:dyDescent="0.2">
      <c r="A12" s="608" t="s">
        <v>45</v>
      </c>
      <c r="B12" s="609"/>
      <c r="C12" s="609"/>
      <c r="D12" s="609"/>
      <c r="E12" s="609"/>
    </row>
    <row r="13" spans="1:9" x14ac:dyDescent="0.2">
      <c r="A13" s="610" t="s">
        <v>430</v>
      </c>
      <c r="B13" s="609"/>
      <c r="C13" s="609"/>
      <c r="D13" s="609"/>
      <c r="E13" s="609"/>
    </row>
  </sheetData>
  <mergeCells count="6">
    <mergeCell ref="A13:E13"/>
    <mergeCell ref="G1:I2"/>
    <mergeCell ref="A1:E1"/>
    <mergeCell ref="A10:E10"/>
    <mergeCell ref="A11:E11"/>
    <mergeCell ref="A12:E12"/>
  </mergeCells>
  <pageMargins left="0.6" right="0.79" top="0.79" bottom="1.06" header="0.3" footer="0.3"/>
  <pageSetup paperSize="9" fitToWidth="0" fitToHeight="0"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F1" sqref="F1:H2"/>
    </sheetView>
  </sheetViews>
  <sheetFormatPr baseColWidth="10" defaultColWidth="9.140625" defaultRowHeight="12.75" x14ac:dyDescent="0.2"/>
  <cols>
    <col min="1" max="1" width="44.7109375" customWidth="1"/>
    <col min="2" max="4" width="13.7109375" customWidth="1"/>
  </cols>
  <sheetData>
    <row r="1" spans="1:8" ht="39" customHeight="1" x14ac:dyDescent="0.2">
      <c r="A1" s="612" t="s">
        <v>475</v>
      </c>
      <c r="B1" s="609"/>
      <c r="C1" s="609"/>
      <c r="D1" s="609"/>
      <c r="F1" s="611" t="str">
        <f>HYPERLINK("#'sommaire'!A1", "Retour sommaire")</f>
        <v>Retour sommaire</v>
      </c>
      <c r="G1" s="609"/>
      <c r="H1" s="609"/>
    </row>
    <row r="2" spans="1:8" x14ac:dyDescent="0.2">
      <c r="F2" s="609"/>
      <c r="G2" s="609"/>
      <c r="H2" s="609"/>
    </row>
    <row r="3" spans="1:8" x14ac:dyDescent="0.2">
      <c r="A3" s="619" t="s">
        <v>476</v>
      </c>
      <c r="B3" s="609"/>
      <c r="C3" s="609"/>
      <c r="D3" s="609"/>
    </row>
    <row r="4" spans="1:8" ht="76.5" x14ac:dyDescent="0.2">
      <c r="A4" s="4" t="s">
        <v>194</v>
      </c>
      <c r="B4" s="4" t="s">
        <v>477</v>
      </c>
      <c r="C4" s="4" t="s">
        <v>478</v>
      </c>
      <c r="D4" s="4" t="s">
        <v>435</v>
      </c>
    </row>
    <row r="5" spans="1:8" x14ac:dyDescent="0.2">
      <c r="A5" s="581" t="s">
        <v>487</v>
      </c>
      <c r="B5" s="582">
        <v>2751.846</v>
      </c>
      <c r="C5" s="582">
        <v>189.46100000000001</v>
      </c>
      <c r="D5" s="582">
        <v>0</v>
      </c>
    </row>
    <row r="6" spans="1:8" x14ac:dyDescent="0.2">
      <c r="A6" s="581" t="s">
        <v>973</v>
      </c>
      <c r="B6" s="582">
        <f>B16-B5</f>
        <v>34563.679300000003</v>
      </c>
      <c r="C6" s="582">
        <f t="shared" ref="C6:D6" si="0">C16-C5</f>
        <v>409.03</v>
      </c>
      <c r="D6" s="582">
        <f t="shared" si="0"/>
        <v>3591.5439999999999</v>
      </c>
    </row>
    <row r="7" spans="1:8" x14ac:dyDescent="0.2">
      <c r="A7" s="597" t="s">
        <v>479</v>
      </c>
      <c r="B7" s="598">
        <v>1602.05361750515</v>
      </c>
      <c r="C7" s="598" t="s">
        <v>74</v>
      </c>
      <c r="D7" s="598">
        <v>176.99989132270099</v>
      </c>
    </row>
    <row r="8" spans="1:8" ht="25.5" x14ac:dyDescent="0.2">
      <c r="A8" s="597" t="s">
        <v>480</v>
      </c>
      <c r="B8" s="598">
        <v>3406.3765265745101</v>
      </c>
      <c r="C8" s="598"/>
      <c r="D8" s="598">
        <v>985.80352773033599</v>
      </c>
    </row>
    <row r="9" spans="1:8" x14ac:dyDescent="0.2">
      <c r="A9" s="597" t="s">
        <v>481</v>
      </c>
      <c r="B9" s="598">
        <v>15077.992826393</v>
      </c>
      <c r="C9" s="598" t="s">
        <v>74</v>
      </c>
      <c r="D9" s="598">
        <v>200.81261670183599</v>
      </c>
    </row>
    <row r="10" spans="1:8" x14ac:dyDescent="0.2">
      <c r="A10" s="597" t="s">
        <v>482</v>
      </c>
      <c r="B10" s="598">
        <v>1118.8419191755499</v>
      </c>
      <c r="C10" s="598"/>
      <c r="D10" s="598">
        <v>773.50034448505596</v>
      </c>
    </row>
    <row r="11" spans="1:8" x14ac:dyDescent="0.2">
      <c r="A11" s="597" t="s">
        <v>483</v>
      </c>
      <c r="B11" s="598">
        <v>1204.2876641213199</v>
      </c>
      <c r="C11" s="598"/>
      <c r="D11" s="598">
        <v>18.646265827855501</v>
      </c>
    </row>
    <row r="12" spans="1:8" x14ac:dyDescent="0.2">
      <c r="A12" s="597" t="s">
        <v>484</v>
      </c>
      <c r="B12" s="598">
        <v>862.05380363332495</v>
      </c>
      <c r="C12" s="598">
        <v>55.097981195723598</v>
      </c>
      <c r="D12" s="598">
        <v>75.256754784789706</v>
      </c>
    </row>
    <row r="13" spans="1:8" ht="25.5" x14ac:dyDescent="0.2">
      <c r="A13" s="597" t="s">
        <v>485</v>
      </c>
      <c r="B13" s="598">
        <v>2943.8999960854499</v>
      </c>
      <c r="C13" s="598" t="s">
        <v>74</v>
      </c>
      <c r="D13" s="598">
        <v>1075.67062383492</v>
      </c>
    </row>
    <row r="14" spans="1:8" x14ac:dyDescent="0.2">
      <c r="A14" s="597" t="s">
        <v>272</v>
      </c>
      <c r="B14" s="598">
        <v>6362.2527463388797</v>
      </c>
      <c r="C14" s="598" t="s">
        <v>74</v>
      </c>
      <c r="D14" s="598">
        <v>69.455200303045601</v>
      </c>
    </row>
    <row r="15" spans="1:8" x14ac:dyDescent="0.2">
      <c r="A15" s="597" t="s">
        <v>486</v>
      </c>
      <c r="B15" s="598">
        <v>1985.9202001728299</v>
      </c>
      <c r="C15" s="598"/>
      <c r="D15" s="598">
        <v>215.398775009459</v>
      </c>
    </row>
    <row r="16" spans="1:8" ht="12.75" customHeight="1" x14ac:dyDescent="0.2">
      <c r="A16" s="6" t="s">
        <v>488</v>
      </c>
      <c r="B16" s="262">
        <v>37315.525300000001</v>
      </c>
      <c r="C16" s="263">
        <v>598.49099999999999</v>
      </c>
      <c r="D16" s="264">
        <v>3591.5439999999999</v>
      </c>
    </row>
    <row r="17" spans="1:4" x14ac:dyDescent="0.2">
      <c r="A17" s="651" t="s">
        <v>430</v>
      </c>
      <c r="B17" s="651"/>
      <c r="C17" s="651"/>
      <c r="D17" s="651"/>
    </row>
  </sheetData>
  <mergeCells count="4">
    <mergeCell ref="F1:H2"/>
    <mergeCell ref="A1:D1"/>
    <mergeCell ref="A3:D3"/>
    <mergeCell ref="A17:D17"/>
  </mergeCells>
  <pageMargins left="0.6" right="0.79" top="0.79" bottom="1.06" header="0.3" footer="0.3"/>
  <pageSetup paperSize="9" fitToWidth="0" fitToHeight="0"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sqref="A1:B1"/>
    </sheetView>
  </sheetViews>
  <sheetFormatPr baseColWidth="10" defaultColWidth="9.140625" defaultRowHeight="12.75" x14ac:dyDescent="0.2"/>
  <cols>
    <col min="1" max="1" width="60.7109375" customWidth="1"/>
    <col min="2" max="2" width="23.7109375" customWidth="1"/>
  </cols>
  <sheetData>
    <row r="1" spans="1:6" ht="15" customHeight="1" x14ac:dyDescent="0.2">
      <c r="A1" s="612" t="s">
        <v>489</v>
      </c>
      <c r="B1" s="609"/>
      <c r="D1" s="611" t="str">
        <f>HYPERLINK("#'sommaire'!A1", "Retour sommaire")</f>
        <v>Retour sommaire</v>
      </c>
      <c r="E1" s="609"/>
      <c r="F1" s="609"/>
    </row>
    <row r="2" spans="1:6" x14ac:dyDescent="0.2">
      <c r="D2" s="609"/>
      <c r="E2" s="609"/>
      <c r="F2" s="609"/>
    </row>
    <row r="3" spans="1:6" x14ac:dyDescent="0.2">
      <c r="A3" s="619" t="s">
        <v>476</v>
      </c>
      <c r="B3" s="609"/>
    </row>
    <row r="4" spans="1:6" x14ac:dyDescent="0.2">
      <c r="A4" s="4" t="s">
        <v>194</v>
      </c>
      <c r="B4" s="4" t="s">
        <v>38</v>
      </c>
    </row>
    <row r="5" spans="1:6" x14ac:dyDescent="0.2">
      <c r="A5" s="17" t="s">
        <v>485</v>
      </c>
      <c r="B5" s="266">
        <v>2287.7983261776899</v>
      </c>
    </row>
    <row r="6" spans="1:6" x14ac:dyDescent="0.2">
      <c r="A6" s="17" t="s">
        <v>272</v>
      </c>
      <c r="B6" s="266">
        <v>1122.4916700922099</v>
      </c>
    </row>
    <row r="7" spans="1:6" x14ac:dyDescent="0.2">
      <c r="A7" s="17" t="s">
        <v>483</v>
      </c>
      <c r="B7" s="266">
        <v>601.06235080019098</v>
      </c>
    </row>
    <row r="8" spans="1:6" x14ac:dyDescent="0.2">
      <c r="A8" s="17" t="s">
        <v>486</v>
      </c>
      <c r="B8" s="266">
        <v>191.004433440691</v>
      </c>
    </row>
    <row r="9" spans="1:6" x14ac:dyDescent="0.2">
      <c r="A9" s="17" t="s">
        <v>481</v>
      </c>
      <c r="B9" s="266">
        <v>129.148591972655</v>
      </c>
    </row>
    <row r="10" spans="1:6" x14ac:dyDescent="0.2">
      <c r="A10" s="17" t="s">
        <v>484</v>
      </c>
      <c r="B10" s="266">
        <v>84.525056630910299</v>
      </c>
    </row>
    <row r="11" spans="1:6" x14ac:dyDescent="0.2">
      <c r="A11" s="17" t="s">
        <v>479</v>
      </c>
      <c r="B11" s="266">
        <v>26.393570885658502</v>
      </c>
    </row>
    <row r="12" spans="1:6" x14ac:dyDescent="0.2">
      <c r="A12" s="6" t="s">
        <v>459</v>
      </c>
      <c r="B12" s="265">
        <v>4442.424</v>
      </c>
    </row>
    <row r="13" spans="1:6" x14ac:dyDescent="0.2">
      <c r="A13" s="610" t="s">
        <v>430</v>
      </c>
      <c r="B13" s="609"/>
    </row>
  </sheetData>
  <mergeCells count="4">
    <mergeCell ref="D1:F2"/>
    <mergeCell ref="A1:B1"/>
    <mergeCell ref="A3:B3"/>
    <mergeCell ref="A13:B13"/>
  </mergeCells>
  <pageMargins left="0.6" right="0.79" top="0.79" bottom="1.06" header="0.3" footer="0.3"/>
  <pageSetup paperSize="9" fitToWidth="0" fitToHeight="0"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sqref="A1:C1"/>
    </sheetView>
  </sheetViews>
  <sheetFormatPr baseColWidth="10" defaultColWidth="9.140625" defaultRowHeight="12.75" x14ac:dyDescent="0.2"/>
  <cols>
    <col min="1" max="1" width="43.7109375" customWidth="1"/>
    <col min="2" max="3" width="20.7109375" customWidth="1"/>
  </cols>
  <sheetData>
    <row r="1" spans="1:7" ht="39" customHeight="1" x14ac:dyDescent="0.2">
      <c r="A1" s="612" t="s">
        <v>490</v>
      </c>
      <c r="B1" s="609"/>
      <c r="C1" s="609"/>
      <c r="E1" s="611" t="str">
        <f>HYPERLINK("#'sommaire'!A1", "Retour sommaire")</f>
        <v>Retour sommaire</v>
      </c>
      <c r="F1" s="609"/>
      <c r="G1" s="609"/>
    </row>
    <row r="2" spans="1:7" x14ac:dyDescent="0.2">
      <c r="E2" s="609"/>
      <c r="F2" s="609"/>
      <c r="G2" s="609"/>
    </row>
    <row r="3" spans="1:7" x14ac:dyDescent="0.2">
      <c r="A3" s="619" t="s">
        <v>476</v>
      </c>
      <c r="B3" s="609"/>
      <c r="C3" s="609"/>
    </row>
    <row r="4" spans="1:7" ht="25.5" x14ac:dyDescent="0.2">
      <c r="A4" s="4" t="s">
        <v>194</v>
      </c>
      <c r="B4" s="4" t="s">
        <v>491</v>
      </c>
      <c r="C4" s="4" t="s">
        <v>445</v>
      </c>
    </row>
    <row r="5" spans="1:7" x14ac:dyDescent="0.2">
      <c r="A5" s="17" t="s">
        <v>479</v>
      </c>
      <c r="B5" s="268">
        <v>9.4356500000000008</v>
      </c>
      <c r="C5" s="270">
        <v>5.3221971428571404</v>
      </c>
    </row>
    <row r="6" spans="1:7" x14ac:dyDescent="0.2">
      <c r="A6" s="17" t="s">
        <v>484</v>
      </c>
      <c r="B6" s="268">
        <v>0.68125000000000002</v>
      </c>
      <c r="C6" s="270">
        <v>8.6995214285714297</v>
      </c>
    </row>
    <row r="7" spans="1:7" x14ac:dyDescent="0.2">
      <c r="A7" s="17" t="s">
        <v>481</v>
      </c>
      <c r="B7" s="268">
        <v>68.92</v>
      </c>
      <c r="C7" s="270">
        <v>2.4291728571428601</v>
      </c>
    </row>
    <row r="8" spans="1:7" ht="25.5" x14ac:dyDescent="0.2">
      <c r="A8" s="17" t="s">
        <v>492</v>
      </c>
      <c r="B8" s="268">
        <v>6.7675400000000003</v>
      </c>
      <c r="C8" s="270">
        <v>12.845065714285701</v>
      </c>
    </row>
    <row r="9" spans="1:7" x14ac:dyDescent="0.2">
      <c r="A9" s="17" t="s">
        <v>493</v>
      </c>
      <c r="B9" s="268">
        <v>30.927959999999999</v>
      </c>
      <c r="C9" s="270">
        <v>10.568042857142901</v>
      </c>
    </row>
    <row r="10" spans="1:7" x14ac:dyDescent="0.2">
      <c r="A10" s="6" t="s">
        <v>459</v>
      </c>
      <c r="B10" s="267">
        <v>116.7324</v>
      </c>
      <c r="C10" s="269">
        <v>39.863999999999997</v>
      </c>
    </row>
    <row r="11" spans="1:7" x14ac:dyDescent="0.2">
      <c r="A11" s="610" t="s">
        <v>430</v>
      </c>
      <c r="B11" s="609"/>
      <c r="C11" s="609"/>
    </row>
  </sheetData>
  <mergeCells count="4">
    <mergeCell ref="E1:G2"/>
    <mergeCell ref="A1:C1"/>
    <mergeCell ref="A3:C3"/>
    <mergeCell ref="A11:C11"/>
  </mergeCells>
  <pageMargins left="0.6" right="0.79" top="0.79" bottom="1.06" header="0.3" footer="0.3"/>
  <pageSetup paperSize="9" fitToWidth="0" fitToHeight="0"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E1" sqref="E1:G2"/>
    </sheetView>
  </sheetViews>
  <sheetFormatPr baseColWidth="10" defaultColWidth="9.140625" defaultRowHeight="12.75" x14ac:dyDescent="0.2"/>
  <cols>
    <col min="1" max="1" width="43.7109375" customWidth="1"/>
    <col min="2" max="3" width="20.7109375" customWidth="1"/>
  </cols>
  <sheetData>
    <row r="1" spans="1:7" ht="15" customHeight="1" x14ac:dyDescent="0.2">
      <c r="A1" s="612" t="s">
        <v>494</v>
      </c>
      <c r="B1" s="609"/>
      <c r="C1" s="609"/>
      <c r="E1" s="611" t="str">
        <f>HYPERLINK("#'sommaire'!A1", "Retour sommaire")</f>
        <v>Retour sommaire</v>
      </c>
      <c r="F1" s="609"/>
      <c r="G1" s="609"/>
    </row>
    <row r="2" spans="1:7" x14ac:dyDescent="0.2">
      <c r="E2" s="609"/>
      <c r="F2" s="609"/>
      <c r="G2" s="609"/>
    </row>
    <row r="3" spans="1:7" ht="25.5" x14ac:dyDescent="0.2">
      <c r="A3" s="4" t="s">
        <v>19</v>
      </c>
      <c r="B3" s="4" t="s">
        <v>495</v>
      </c>
      <c r="C3" s="4" t="s">
        <v>496</v>
      </c>
    </row>
    <row r="4" spans="1:7" x14ac:dyDescent="0.2">
      <c r="A4" s="5"/>
      <c r="B4" s="5" t="s">
        <v>24</v>
      </c>
      <c r="C4" s="5" t="s">
        <v>147</v>
      </c>
    </row>
    <row r="5" spans="1:7" ht="25.5" x14ac:dyDescent="0.2">
      <c r="A5" s="17" t="s">
        <v>497</v>
      </c>
      <c r="B5" s="271">
        <v>37</v>
      </c>
      <c r="C5" s="272">
        <v>12.111815329256499</v>
      </c>
    </row>
    <row r="6" spans="1:7" x14ac:dyDescent="0.2">
      <c r="A6" s="17" t="s">
        <v>38</v>
      </c>
      <c r="B6" s="271">
        <v>3</v>
      </c>
      <c r="C6" s="272">
        <v>16.4582960849146</v>
      </c>
    </row>
    <row r="7" spans="1:7" x14ac:dyDescent="0.2">
      <c r="A7" s="17" t="s">
        <v>435</v>
      </c>
      <c r="B7" s="271">
        <v>10</v>
      </c>
      <c r="C7" s="272">
        <v>2.7654258644718799</v>
      </c>
    </row>
    <row r="8" spans="1:7" x14ac:dyDescent="0.2">
      <c r="A8" s="17" t="s">
        <v>498</v>
      </c>
      <c r="B8" s="271">
        <v>6</v>
      </c>
      <c r="C8" s="272">
        <v>9.46909020909332</v>
      </c>
    </row>
    <row r="9" spans="1:7" x14ac:dyDescent="0.2">
      <c r="A9" s="610" t="s">
        <v>430</v>
      </c>
      <c r="B9" s="609"/>
      <c r="C9" s="609"/>
    </row>
  </sheetData>
  <mergeCells count="3">
    <mergeCell ref="E1:G2"/>
    <mergeCell ref="A1:C1"/>
    <mergeCell ref="A9:C9"/>
  </mergeCells>
  <pageMargins left="0.6" right="0.79" top="0.79" bottom="1.06" header="0.3" footer="0.3"/>
  <pageSetup paperSize="9" fitToWidth="0" fitToHeight="0"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sqref="A1:H1"/>
    </sheetView>
  </sheetViews>
  <sheetFormatPr baseColWidth="10" defaultColWidth="9.140625" defaultRowHeight="12.75" x14ac:dyDescent="0.2"/>
  <cols>
    <col min="1" max="7" width="10.7109375" customWidth="1"/>
    <col min="8" max="8" width="12.7109375" customWidth="1"/>
  </cols>
  <sheetData>
    <row r="1" spans="1:12" ht="15" customHeight="1" x14ac:dyDescent="0.2">
      <c r="A1" s="612" t="s">
        <v>499</v>
      </c>
      <c r="B1" s="609"/>
      <c r="C1" s="609"/>
      <c r="D1" s="609"/>
      <c r="E1" s="609"/>
      <c r="F1" s="609"/>
      <c r="G1" s="609"/>
      <c r="H1" s="609"/>
      <c r="J1" s="611" t="str">
        <f>HYPERLINK("#'sommaire'!A1", "Retour sommaire")</f>
        <v>Retour sommaire</v>
      </c>
      <c r="K1" s="609"/>
      <c r="L1" s="609"/>
    </row>
    <row r="2" spans="1:12" x14ac:dyDescent="0.2">
      <c r="J2" s="609"/>
      <c r="K2" s="609"/>
      <c r="L2" s="609"/>
    </row>
    <row r="3" spans="1:12" x14ac:dyDescent="0.2">
      <c r="A3" s="619" t="s">
        <v>500</v>
      </c>
      <c r="B3" s="609"/>
      <c r="C3" s="609"/>
      <c r="D3" s="609"/>
      <c r="E3" s="609"/>
      <c r="F3" s="609"/>
      <c r="G3" s="609"/>
      <c r="H3" s="609"/>
    </row>
    <row r="4" spans="1:12" x14ac:dyDescent="0.2">
      <c r="A4" s="4" t="s">
        <v>19</v>
      </c>
      <c r="B4" s="4" t="s">
        <v>501</v>
      </c>
      <c r="C4" s="4" t="s">
        <v>502</v>
      </c>
      <c r="D4" s="4" t="s">
        <v>503</v>
      </c>
      <c r="E4" s="4" t="s">
        <v>504</v>
      </c>
      <c r="F4" s="4" t="s">
        <v>505</v>
      </c>
      <c r="G4" s="4" t="s">
        <v>506</v>
      </c>
      <c r="H4" s="4" t="s">
        <v>178</v>
      </c>
    </row>
    <row r="5" spans="1:12" x14ac:dyDescent="0.2">
      <c r="A5" s="620" t="s">
        <v>38</v>
      </c>
      <c r="B5" s="621"/>
      <c r="C5" s="621"/>
      <c r="D5" s="621"/>
      <c r="E5" s="621"/>
      <c r="F5" s="621"/>
      <c r="G5" s="621"/>
      <c r="H5" s="621"/>
    </row>
    <row r="6" spans="1:12" ht="25.5" x14ac:dyDescent="0.2">
      <c r="A6" s="8" t="s">
        <v>172</v>
      </c>
      <c r="B6" s="273" t="s">
        <v>507</v>
      </c>
      <c r="C6" s="275" t="s">
        <v>508</v>
      </c>
      <c r="D6" s="277" t="s">
        <v>509</v>
      </c>
      <c r="E6" s="279" t="s">
        <v>510</v>
      </c>
      <c r="F6" s="281" t="s">
        <v>511</v>
      </c>
      <c r="G6" s="283" t="s">
        <v>512</v>
      </c>
      <c r="H6" s="285" t="s">
        <v>178</v>
      </c>
    </row>
    <row r="7" spans="1:12" x14ac:dyDescent="0.2">
      <c r="A7" s="17" t="s">
        <v>424</v>
      </c>
      <c r="B7" s="274">
        <v>88.0167</v>
      </c>
      <c r="C7" s="276">
        <v>511.62274000000002</v>
      </c>
      <c r="D7" s="278">
        <v>185.48916</v>
      </c>
      <c r="E7" s="280">
        <v>83.124799999999993</v>
      </c>
      <c r="F7" s="282" t="s">
        <v>74</v>
      </c>
      <c r="G7" s="284" t="s">
        <v>74</v>
      </c>
      <c r="H7" s="286">
        <v>564.53</v>
      </c>
    </row>
    <row r="8" spans="1:12" ht="25.5" x14ac:dyDescent="0.2">
      <c r="A8" s="17" t="s">
        <v>425</v>
      </c>
      <c r="B8" s="274" t="s">
        <v>74</v>
      </c>
      <c r="C8" s="276">
        <v>276.67234999999999</v>
      </c>
      <c r="D8" s="278" t="s">
        <v>74</v>
      </c>
      <c r="E8" s="280" t="s">
        <v>74</v>
      </c>
      <c r="F8" s="282" t="s">
        <v>74</v>
      </c>
      <c r="G8" s="284" t="s">
        <v>74</v>
      </c>
      <c r="H8" s="286">
        <v>502.428</v>
      </c>
    </row>
    <row r="9" spans="1:12" x14ac:dyDescent="0.2">
      <c r="A9" s="620" t="s">
        <v>64</v>
      </c>
      <c r="B9" s="621"/>
      <c r="C9" s="621"/>
      <c r="D9" s="621"/>
      <c r="E9" s="621"/>
      <c r="F9" s="621"/>
      <c r="G9" s="621"/>
      <c r="H9" s="621"/>
    </row>
    <row r="10" spans="1:12" ht="51" x14ac:dyDescent="0.2">
      <c r="A10" s="8" t="s">
        <v>172</v>
      </c>
      <c r="B10" s="273" t="s">
        <v>513</v>
      </c>
      <c r="C10" s="275" t="s">
        <v>514</v>
      </c>
      <c r="D10" s="277" t="s">
        <v>515</v>
      </c>
      <c r="E10" s="279" t="s">
        <v>516</v>
      </c>
      <c r="F10" s="281"/>
      <c r="G10" s="283"/>
      <c r="H10" s="285" t="s">
        <v>178</v>
      </c>
    </row>
    <row r="11" spans="1:12" ht="25.5" x14ac:dyDescent="0.2">
      <c r="A11" s="17" t="s">
        <v>408</v>
      </c>
      <c r="B11" s="274">
        <v>10656.856632000001</v>
      </c>
      <c r="C11" s="276">
        <v>2178.2056640000001</v>
      </c>
      <c r="D11" s="278">
        <v>4154.6647800000001</v>
      </c>
      <c r="E11" s="280">
        <v>9177.9416239999991</v>
      </c>
      <c r="F11" s="282"/>
      <c r="G11" s="284"/>
      <c r="H11" s="286">
        <v>6982.4279999999999</v>
      </c>
    </row>
    <row r="12" spans="1:12" x14ac:dyDescent="0.2">
      <c r="A12" s="17" t="s">
        <v>409</v>
      </c>
      <c r="B12" s="274">
        <v>853.15579000000002</v>
      </c>
      <c r="C12" s="276">
        <v>53.8733</v>
      </c>
      <c r="D12" s="618">
        <v>14.37391</v>
      </c>
      <c r="E12" s="618">
        <v>0</v>
      </c>
      <c r="F12" s="282"/>
      <c r="G12" s="284"/>
      <c r="H12" s="286">
        <v>70.45</v>
      </c>
    </row>
    <row r="13" spans="1:12" ht="25.5" x14ac:dyDescent="0.2">
      <c r="A13" s="17" t="s">
        <v>517</v>
      </c>
      <c r="B13" s="274">
        <v>233.81682000000001</v>
      </c>
      <c r="C13" s="276">
        <v>76.973129999999998</v>
      </c>
      <c r="D13" s="278">
        <v>77.830719999999999</v>
      </c>
      <c r="E13" s="280">
        <v>7.15693</v>
      </c>
      <c r="F13" s="282"/>
      <c r="G13" s="284"/>
      <c r="H13" s="286">
        <v>25.952000000000002</v>
      </c>
    </row>
    <row r="14" spans="1:12" x14ac:dyDescent="0.2">
      <c r="A14" s="620" t="s">
        <v>518</v>
      </c>
      <c r="B14" s="621"/>
      <c r="C14" s="621"/>
      <c r="D14" s="621"/>
      <c r="E14" s="621"/>
      <c r="F14" s="621"/>
      <c r="G14" s="621"/>
      <c r="H14" s="621"/>
    </row>
    <row r="15" spans="1:12" ht="25.5" x14ac:dyDescent="0.2">
      <c r="A15" s="8" t="s">
        <v>172</v>
      </c>
      <c r="B15" s="273" t="s">
        <v>519</v>
      </c>
      <c r="C15" s="275" t="s">
        <v>520</v>
      </c>
      <c r="D15" s="277" t="s">
        <v>521</v>
      </c>
      <c r="E15" s="279"/>
      <c r="F15" s="281"/>
      <c r="G15" s="283"/>
      <c r="H15" s="285" t="s">
        <v>178</v>
      </c>
    </row>
    <row r="16" spans="1:12" ht="38.25" x14ac:dyDescent="0.2">
      <c r="A16" s="17" t="s">
        <v>522</v>
      </c>
      <c r="B16" s="274">
        <v>43.325819699999997</v>
      </c>
      <c r="C16" s="276">
        <v>144.27712450000001</v>
      </c>
      <c r="D16" s="278">
        <v>1205.1031158000001</v>
      </c>
      <c r="E16" s="280"/>
      <c r="F16" s="282"/>
      <c r="G16" s="284"/>
      <c r="H16" s="286">
        <v>16.440049999999999</v>
      </c>
    </row>
    <row r="17" spans="1:8" x14ac:dyDescent="0.2">
      <c r="A17" s="17" t="s">
        <v>523</v>
      </c>
      <c r="B17" s="274">
        <v>0.3646605</v>
      </c>
      <c r="C17" s="276">
        <v>2.9243515000000002</v>
      </c>
      <c r="D17" s="278">
        <v>4.1961979999999999</v>
      </c>
      <c r="E17" s="280"/>
      <c r="F17" s="282"/>
      <c r="G17" s="284"/>
      <c r="H17" s="286">
        <v>83.899450000000002</v>
      </c>
    </row>
    <row r="18" spans="1:8" ht="25.5" x14ac:dyDescent="0.2">
      <c r="A18" s="17" t="s">
        <v>524</v>
      </c>
      <c r="B18" s="274">
        <v>0.501471</v>
      </c>
      <c r="C18" s="276">
        <v>4.7034830000000003</v>
      </c>
      <c r="D18" s="278">
        <v>47.607356000000003</v>
      </c>
      <c r="E18" s="280"/>
      <c r="F18" s="282"/>
      <c r="G18" s="284"/>
      <c r="H18" s="286">
        <v>0</v>
      </c>
    </row>
    <row r="19" spans="1:8" ht="36" customHeight="1" x14ac:dyDescent="0.2">
      <c r="A19" s="608" t="s">
        <v>525</v>
      </c>
      <c r="B19" s="609"/>
      <c r="C19" s="609"/>
      <c r="D19" s="609"/>
      <c r="E19" s="609"/>
      <c r="F19" s="609"/>
      <c r="G19" s="609"/>
      <c r="H19" s="609"/>
    </row>
    <row r="20" spans="1:8" x14ac:dyDescent="0.2">
      <c r="A20" s="610" t="s">
        <v>430</v>
      </c>
      <c r="B20" s="609"/>
      <c r="C20" s="609"/>
      <c r="D20" s="609"/>
      <c r="E20" s="609"/>
      <c r="F20" s="609"/>
      <c r="G20" s="609"/>
      <c r="H20" s="609"/>
    </row>
  </sheetData>
  <mergeCells count="9">
    <mergeCell ref="J1:L2"/>
    <mergeCell ref="A1:H1"/>
    <mergeCell ref="A3:H3"/>
    <mergeCell ref="A19:H19"/>
    <mergeCell ref="A20:H20"/>
    <mergeCell ref="A5:H5"/>
    <mergeCell ref="A9:H9"/>
    <mergeCell ref="A14:H14"/>
    <mergeCell ref="D12:E12"/>
  </mergeCells>
  <pageMargins left="0.6" right="0.79" top="0.79" bottom="1.06" header="0.3" footer="0.3"/>
  <pageSetup paperSize="9" fitToWidth="0" fitToHeight="0"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sqref="A1:H1"/>
    </sheetView>
  </sheetViews>
  <sheetFormatPr baseColWidth="10" defaultColWidth="9.140625" defaultRowHeight="12.75" x14ac:dyDescent="0.2"/>
  <cols>
    <col min="1" max="7" width="10.7109375" customWidth="1"/>
    <col min="8" max="8" width="12.7109375" customWidth="1"/>
  </cols>
  <sheetData>
    <row r="1" spans="1:12" ht="39" customHeight="1" x14ac:dyDescent="0.2">
      <c r="A1" s="612" t="s">
        <v>526</v>
      </c>
      <c r="B1" s="609"/>
      <c r="C1" s="609"/>
      <c r="D1" s="609"/>
      <c r="E1" s="609"/>
      <c r="F1" s="609"/>
      <c r="G1" s="609"/>
      <c r="H1" s="609"/>
      <c r="J1" s="611" t="str">
        <f>HYPERLINK("#'sommaire'!A1", "Retour sommaire")</f>
        <v>Retour sommaire</v>
      </c>
      <c r="K1" s="609"/>
      <c r="L1" s="609"/>
    </row>
    <row r="2" spans="1:12" x14ac:dyDescent="0.2">
      <c r="J2" s="609"/>
      <c r="K2" s="609"/>
      <c r="L2" s="609"/>
    </row>
    <row r="3" spans="1:12" x14ac:dyDescent="0.2">
      <c r="A3" s="619" t="s">
        <v>264</v>
      </c>
      <c r="B3" s="609"/>
      <c r="C3" s="609"/>
      <c r="D3" s="609"/>
      <c r="E3" s="609"/>
      <c r="F3" s="609"/>
      <c r="G3" s="609"/>
      <c r="H3" s="609"/>
    </row>
    <row r="4" spans="1:12" ht="38.25" x14ac:dyDescent="0.2">
      <c r="A4" s="4" t="s">
        <v>19</v>
      </c>
      <c r="B4" s="4" t="s">
        <v>527</v>
      </c>
      <c r="C4" s="4" t="s">
        <v>528</v>
      </c>
      <c r="D4" s="4" t="s">
        <v>529</v>
      </c>
      <c r="E4" s="4" t="s">
        <v>530</v>
      </c>
      <c r="F4" s="4" t="s">
        <v>531</v>
      </c>
      <c r="G4" s="4" t="s">
        <v>532</v>
      </c>
      <c r="H4" s="4" t="s">
        <v>178</v>
      </c>
    </row>
    <row r="5" spans="1:12" x14ac:dyDescent="0.2">
      <c r="A5" s="620" t="s">
        <v>38</v>
      </c>
      <c r="B5" s="621"/>
      <c r="C5" s="621"/>
      <c r="D5" s="621"/>
      <c r="E5" s="621"/>
      <c r="F5" s="621"/>
      <c r="G5" s="621"/>
      <c r="H5" s="621"/>
    </row>
    <row r="6" spans="1:12" x14ac:dyDescent="0.2">
      <c r="A6" s="17" t="s">
        <v>424</v>
      </c>
      <c r="B6" s="287">
        <v>9488.9744499999997</v>
      </c>
      <c r="C6" s="288" t="s">
        <v>74</v>
      </c>
      <c r="D6" s="289"/>
      <c r="E6" s="290"/>
      <c r="F6" s="291"/>
      <c r="G6" s="292"/>
      <c r="H6" s="293" t="s">
        <v>74</v>
      </c>
    </row>
    <row r="7" spans="1:12" ht="25.5" x14ac:dyDescent="0.2">
      <c r="A7" s="17" t="s">
        <v>425</v>
      </c>
      <c r="B7" s="287" t="s">
        <v>74</v>
      </c>
      <c r="C7" s="288" t="s">
        <v>74</v>
      </c>
      <c r="D7" s="289"/>
      <c r="E7" s="290"/>
      <c r="F7" s="291"/>
      <c r="G7" s="292"/>
      <c r="H7" s="293">
        <v>4452.6499999999996</v>
      </c>
    </row>
    <row r="8" spans="1:12" x14ac:dyDescent="0.2">
      <c r="A8" s="17" t="s">
        <v>426</v>
      </c>
      <c r="B8" s="287" t="s">
        <v>74</v>
      </c>
      <c r="C8" s="288"/>
      <c r="D8" s="289" t="s">
        <v>74</v>
      </c>
      <c r="E8" s="290" t="s">
        <v>74</v>
      </c>
      <c r="F8" s="291"/>
      <c r="G8" s="292"/>
      <c r="H8" s="293" t="s">
        <v>74</v>
      </c>
    </row>
    <row r="9" spans="1:12" ht="38.25" x14ac:dyDescent="0.2">
      <c r="A9" s="17" t="s">
        <v>533</v>
      </c>
      <c r="B9" s="287" t="s">
        <v>74</v>
      </c>
      <c r="C9" s="288"/>
      <c r="D9" s="289"/>
      <c r="E9" s="290"/>
      <c r="F9" s="291"/>
      <c r="G9" s="292"/>
      <c r="H9" s="293" t="s">
        <v>74</v>
      </c>
    </row>
    <row r="10" spans="1:12" x14ac:dyDescent="0.2">
      <c r="A10" s="620" t="s">
        <v>433</v>
      </c>
      <c r="B10" s="621"/>
      <c r="C10" s="621"/>
      <c r="D10" s="621"/>
      <c r="E10" s="621"/>
      <c r="F10" s="621"/>
      <c r="G10" s="621"/>
      <c r="H10" s="621"/>
    </row>
    <row r="11" spans="1:12" x14ac:dyDescent="0.2">
      <c r="A11" s="17" t="s">
        <v>64</v>
      </c>
      <c r="B11" s="287">
        <v>68776.085007999995</v>
      </c>
      <c r="C11" s="288">
        <v>12002.521801999999</v>
      </c>
      <c r="D11" s="289">
        <v>12499.252179999999</v>
      </c>
      <c r="E11" s="290">
        <v>7864.9271900000003</v>
      </c>
      <c r="F11" s="291">
        <v>540.66999999999996</v>
      </c>
      <c r="G11" s="292">
        <v>815.04852000000005</v>
      </c>
      <c r="H11" s="293">
        <v>25654.675605496599</v>
      </c>
    </row>
    <row r="12" spans="1:12" ht="51" x14ac:dyDescent="0.2">
      <c r="A12" s="17" t="s">
        <v>534</v>
      </c>
      <c r="B12" s="287">
        <v>130.52000000000001</v>
      </c>
      <c r="C12" s="288">
        <v>60.906359999999999</v>
      </c>
      <c r="D12" s="289">
        <v>558.64076</v>
      </c>
      <c r="E12" s="290"/>
      <c r="F12" s="291" t="s">
        <v>74</v>
      </c>
      <c r="G12" s="292"/>
      <c r="H12" s="293" t="s">
        <v>74</v>
      </c>
    </row>
    <row r="13" spans="1:12" ht="38.25" x14ac:dyDescent="0.2">
      <c r="A13" s="17" t="s">
        <v>535</v>
      </c>
      <c r="B13" s="287">
        <v>12554.772660000001</v>
      </c>
      <c r="C13" s="288" t="s">
        <v>74</v>
      </c>
      <c r="D13" s="289">
        <v>205.74585999999999</v>
      </c>
      <c r="E13" s="290" t="s">
        <v>74</v>
      </c>
      <c r="F13" s="291"/>
      <c r="G13" s="292">
        <v>63.889899999999997</v>
      </c>
      <c r="H13" s="293">
        <v>517.85400000000004</v>
      </c>
    </row>
    <row r="14" spans="1:12" x14ac:dyDescent="0.2">
      <c r="A14" s="610" t="s">
        <v>430</v>
      </c>
      <c r="B14" s="609"/>
      <c r="C14" s="609"/>
      <c r="D14" s="609"/>
      <c r="E14" s="609"/>
      <c r="F14" s="609"/>
      <c r="G14" s="609"/>
      <c r="H14" s="609"/>
    </row>
  </sheetData>
  <mergeCells count="6">
    <mergeCell ref="J1:L2"/>
    <mergeCell ref="A1:H1"/>
    <mergeCell ref="A3:H3"/>
    <mergeCell ref="A14:H14"/>
    <mergeCell ref="A5:H5"/>
    <mergeCell ref="A10:H10"/>
  </mergeCells>
  <pageMargins left="0.6" right="0.79" top="0.79" bottom="1.06" header="0.3" footer="0.3"/>
  <pageSetup paperSize="9" fitToWidth="0" fitToHeight="0"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H1" sqref="H1:J2"/>
    </sheetView>
  </sheetViews>
  <sheetFormatPr baseColWidth="10" defaultColWidth="9.140625" defaultRowHeight="12.75" x14ac:dyDescent="0.2"/>
  <cols>
    <col min="1" max="1" width="20.7109375" customWidth="1"/>
    <col min="2" max="5" width="13.7109375" customWidth="1"/>
    <col min="6" max="6" width="11.7109375" customWidth="1"/>
  </cols>
  <sheetData>
    <row r="1" spans="1:10" ht="15" customHeight="1" x14ac:dyDescent="0.2">
      <c r="A1" s="612" t="s">
        <v>536</v>
      </c>
      <c r="B1" s="609"/>
      <c r="C1" s="609"/>
      <c r="D1" s="609"/>
      <c r="E1" s="609"/>
      <c r="F1" s="609"/>
      <c r="H1" s="611" t="str">
        <f>HYPERLINK("#'sommaire'!A1", "Retour sommaire")</f>
        <v>Retour sommaire</v>
      </c>
      <c r="I1" s="609"/>
      <c r="J1" s="609"/>
    </row>
    <row r="2" spans="1:10" x14ac:dyDescent="0.2">
      <c r="H2" s="609"/>
      <c r="I2" s="609"/>
      <c r="J2" s="609"/>
    </row>
    <row r="3" spans="1:10" x14ac:dyDescent="0.2">
      <c r="A3" s="619" t="s">
        <v>537</v>
      </c>
      <c r="B3" s="609"/>
      <c r="C3" s="609"/>
      <c r="D3" s="609"/>
      <c r="E3" s="609"/>
      <c r="F3" s="609"/>
    </row>
    <row r="4" spans="1:10" ht="51" x14ac:dyDescent="0.2">
      <c r="A4" s="4" t="s">
        <v>19</v>
      </c>
      <c r="B4" s="4" t="s">
        <v>538</v>
      </c>
      <c r="C4" s="4" t="s">
        <v>539</v>
      </c>
      <c r="D4" s="4" t="s">
        <v>540</v>
      </c>
      <c r="E4" s="4" t="s">
        <v>541</v>
      </c>
      <c r="F4" s="4" t="s">
        <v>178</v>
      </c>
    </row>
    <row r="5" spans="1:10" x14ac:dyDescent="0.2">
      <c r="A5" s="620" t="s">
        <v>38</v>
      </c>
      <c r="B5" s="621"/>
      <c r="C5" s="621"/>
      <c r="D5" s="621"/>
      <c r="E5" s="621"/>
      <c r="F5" s="621"/>
    </row>
    <row r="6" spans="1:10" x14ac:dyDescent="0.2">
      <c r="A6" s="17" t="s">
        <v>424</v>
      </c>
      <c r="B6" s="294"/>
      <c r="C6" s="295" t="s">
        <v>74</v>
      </c>
      <c r="D6" s="296" t="s">
        <v>74</v>
      </c>
      <c r="E6" s="297">
        <v>870.19799999999998</v>
      </c>
      <c r="F6" s="298">
        <v>848.41524000000004</v>
      </c>
    </row>
    <row r="7" spans="1:10" x14ac:dyDescent="0.2">
      <c r="A7" s="17" t="s">
        <v>425</v>
      </c>
      <c r="B7" s="294" t="s">
        <v>74</v>
      </c>
      <c r="C7" s="295" t="s">
        <v>74</v>
      </c>
      <c r="D7" s="296" t="s">
        <v>74</v>
      </c>
      <c r="E7" s="297" t="s">
        <v>74</v>
      </c>
      <c r="F7" s="298">
        <v>502.428</v>
      </c>
    </row>
    <row r="8" spans="1:10" x14ac:dyDescent="0.2">
      <c r="A8" s="17" t="s">
        <v>426</v>
      </c>
      <c r="B8" s="294"/>
      <c r="C8" s="295" t="s">
        <v>74</v>
      </c>
      <c r="D8" s="296"/>
      <c r="E8" s="297" t="s">
        <v>74</v>
      </c>
      <c r="F8" s="298" t="s">
        <v>74</v>
      </c>
    </row>
    <row r="9" spans="1:10" x14ac:dyDescent="0.2">
      <c r="A9" s="17" t="s">
        <v>533</v>
      </c>
      <c r="B9" s="294"/>
      <c r="C9" s="295"/>
      <c r="D9" s="296"/>
      <c r="E9" s="297" t="s">
        <v>74</v>
      </c>
      <c r="F9" s="298" t="s">
        <v>74</v>
      </c>
    </row>
    <row r="10" spans="1:10" x14ac:dyDescent="0.2">
      <c r="A10" s="620" t="s">
        <v>433</v>
      </c>
      <c r="B10" s="621"/>
      <c r="C10" s="621"/>
      <c r="D10" s="621"/>
      <c r="E10" s="621"/>
      <c r="F10" s="621"/>
    </row>
    <row r="11" spans="1:10" x14ac:dyDescent="0.2">
      <c r="A11" s="17" t="s">
        <v>64</v>
      </c>
      <c r="B11" s="294">
        <v>6178.8696300000001</v>
      </c>
      <c r="C11" s="295">
        <v>9335.3209900000002</v>
      </c>
      <c r="D11" s="296">
        <v>198.74637999999999</v>
      </c>
      <c r="E11" s="297">
        <v>11776.4123</v>
      </c>
      <c r="F11" s="298">
        <v>7074.33</v>
      </c>
    </row>
    <row r="12" spans="1:10" ht="25.5" x14ac:dyDescent="0.2">
      <c r="A12" s="17" t="s">
        <v>534</v>
      </c>
      <c r="B12" s="294" t="s">
        <v>74</v>
      </c>
      <c r="C12" s="295"/>
      <c r="D12" s="296"/>
      <c r="E12" s="297">
        <v>254.3</v>
      </c>
      <c r="F12" s="298" t="s">
        <v>74</v>
      </c>
    </row>
    <row r="13" spans="1:10" x14ac:dyDescent="0.2">
      <c r="A13" s="17" t="s">
        <v>535</v>
      </c>
      <c r="B13" s="294">
        <v>758.64080000000001</v>
      </c>
      <c r="C13" s="295">
        <v>45.590200000000003</v>
      </c>
      <c r="D13" s="296">
        <v>74.778000000000006</v>
      </c>
      <c r="E13" s="297">
        <v>2598.424</v>
      </c>
      <c r="F13" s="298">
        <v>114.111</v>
      </c>
    </row>
    <row r="14" spans="1:10" ht="25.5" x14ac:dyDescent="0.2">
      <c r="A14" s="17" t="s">
        <v>498</v>
      </c>
      <c r="B14" s="294">
        <v>61.310583333333298</v>
      </c>
      <c r="C14" s="295">
        <v>30.802666666666699</v>
      </c>
      <c r="D14" s="296" t="s">
        <v>74</v>
      </c>
      <c r="E14" s="297">
        <v>46.258000000000003</v>
      </c>
      <c r="F14" s="298" t="s">
        <v>74</v>
      </c>
    </row>
    <row r="15" spans="1:10" x14ac:dyDescent="0.2">
      <c r="A15" s="610" t="s">
        <v>430</v>
      </c>
      <c r="B15" s="609"/>
      <c r="C15" s="609"/>
      <c r="D15" s="609"/>
      <c r="E15" s="609"/>
      <c r="F15" s="609"/>
    </row>
  </sheetData>
  <mergeCells count="6">
    <mergeCell ref="H1:J2"/>
    <mergeCell ref="A1:F1"/>
    <mergeCell ref="A3:F3"/>
    <mergeCell ref="A15:F15"/>
    <mergeCell ref="A5:F5"/>
    <mergeCell ref="A10:F10"/>
  </mergeCells>
  <pageMargins left="0.6" right="0.79" top="0.79" bottom="1.06" header="0.3" footer="0.3"/>
  <pageSetup paperSize="9" fitToWidth="0" fitToHeight="0"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H1" sqref="H1:J2"/>
    </sheetView>
  </sheetViews>
  <sheetFormatPr baseColWidth="10" defaultColWidth="9.140625" defaultRowHeight="12.75" x14ac:dyDescent="0.2"/>
  <cols>
    <col min="1" max="1" width="20.7109375" customWidth="1"/>
    <col min="2" max="5" width="11.7109375" customWidth="1"/>
    <col min="6" max="6" width="19.7109375" customWidth="1"/>
  </cols>
  <sheetData>
    <row r="1" spans="1:10" ht="15" customHeight="1" x14ac:dyDescent="0.2">
      <c r="A1" s="612" t="s">
        <v>542</v>
      </c>
      <c r="B1" s="609"/>
      <c r="C1" s="609"/>
      <c r="D1" s="609"/>
      <c r="E1" s="609"/>
      <c r="F1" s="609"/>
      <c r="H1" s="611" t="str">
        <f>HYPERLINK("#'sommaire'!A1", "Retour sommaire")</f>
        <v>Retour sommaire</v>
      </c>
      <c r="I1" s="609"/>
      <c r="J1" s="609"/>
    </row>
    <row r="2" spans="1:10" x14ac:dyDescent="0.2">
      <c r="A2" s="572"/>
      <c r="B2" s="572"/>
      <c r="C2" s="572"/>
      <c r="D2" s="572"/>
      <c r="E2" s="572"/>
      <c r="F2" s="572"/>
      <c r="H2" s="609"/>
      <c r="I2" s="609"/>
      <c r="J2" s="609"/>
    </row>
    <row r="3" spans="1:10" x14ac:dyDescent="0.2">
      <c r="A3" s="619" t="s">
        <v>537</v>
      </c>
      <c r="B3" s="609"/>
      <c r="C3" s="609"/>
      <c r="D3" s="609"/>
      <c r="E3" s="609"/>
      <c r="F3" s="609"/>
    </row>
    <row r="4" spans="1:10" ht="63.75" x14ac:dyDescent="0.2">
      <c r="A4" s="4" t="s">
        <v>936</v>
      </c>
      <c r="B4" s="4" t="s">
        <v>937</v>
      </c>
      <c r="C4" s="4" t="s">
        <v>938</v>
      </c>
      <c r="D4" s="4" t="s">
        <v>939</v>
      </c>
      <c r="E4" s="4" t="s">
        <v>940</v>
      </c>
      <c r="F4" s="4" t="s">
        <v>943</v>
      </c>
    </row>
    <row r="5" spans="1:10" x14ac:dyDescent="0.2">
      <c r="A5" s="620" t="s">
        <v>433</v>
      </c>
      <c r="B5" s="621"/>
      <c r="C5" s="621"/>
      <c r="D5" s="621"/>
      <c r="E5" s="621"/>
      <c r="F5" s="652"/>
    </row>
    <row r="6" spans="1:10" x14ac:dyDescent="0.2">
      <c r="A6" s="573" t="s">
        <v>408</v>
      </c>
      <c r="B6" s="574">
        <v>40311.3243102505</v>
      </c>
      <c r="C6" s="574"/>
      <c r="D6" s="574"/>
      <c r="E6" s="574">
        <v>3847.7924844659001</v>
      </c>
      <c r="F6" s="575">
        <v>1.2355025845873</v>
      </c>
    </row>
    <row r="7" spans="1:10" x14ac:dyDescent="0.2">
      <c r="A7" s="573" t="s">
        <v>409</v>
      </c>
      <c r="B7" s="574">
        <v>971.38606624224803</v>
      </c>
      <c r="C7" s="574"/>
      <c r="D7" s="574"/>
      <c r="E7" s="574">
        <v>36.783201128449598</v>
      </c>
      <c r="F7" s="575">
        <v>0.89858582716241397</v>
      </c>
    </row>
    <row r="8" spans="1:10" x14ac:dyDescent="0.2">
      <c r="A8" s="573" t="s">
        <v>410</v>
      </c>
      <c r="B8" s="574">
        <v>212.829957639274</v>
      </c>
      <c r="C8" s="574"/>
      <c r="D8" s="574"/>
      <c r="E8" s="574">
        <v>2.48443022732926</v>
      </c>
      <c r="F8" s="575">
        <v>0.99928429416909803</v>
      </c>
    </row>
    <row r="9" spans="1:10" ht="38.25" x14ac:dyDescent="0.2">
      <c r="A9" s="573" t="s">
        <v>411</v>
      </c>
      <c r="B9" s="574">
        <v>405.36494588570002</v>
      </c>
      <c r="C9" s="574"/>
      <c r="D9" s="574"/>
      <c r="E9" s="574">
        <v>38.946521230341801</v>
      </c>
      <c r="F9" s="575">
        <v>1.72574280033108</v>
      </c>
    </row>
    <row r="10" spans="1:10" ht="38.25" x14ac:dyDescent="0.2">
      <c r="A10" s="573" t="s">
        <v>941</v>
      </c>
      <c r="B10" s="574">
        <v>1679.1260411175499</v>
      </c>
      <c r="C10" s="574"/>
      <c r="D10" s="574"/>
      <c r="E10" s="574" t="s">
        <v>74</v>
      </c>
      <c r="F10" s="575" t="s">
        <v>60</v>
      </c>
    </row>
    <row r="11" spans="1:10" x14ac:dyDescent="0.2">
      <c r="A11" s="573" t="s">
        <v>535</v>
      </c>
      <c r="B11" s="574">
        <v>778.94180038785203</v>
      </c>
      <c r="C11" s="574"/>
      <c r="D11" s="574"/>
      <c r="E11" s="574">
        <v>960.83245475273804</v>
      </c>
      <c r="F11" s="575">
        <v>0.48440844804924799</v>
      </c>
    </row>
    <row r="12" spans="1:10" ht="12.75" customHeight="1" x14ac:dyDescent="0.2">
      <c r="A12" s="620" t="s">
        <v>38</v>
      </c>
      <c r="B12" s="621"/>
      <c r="C12" s="621"/>
      <c r="D12" s="621"/>
      <c r="E12" s="621"/>
      <c r="F12" s="652"/>
    </row>
    <row r="13" spans="1:10" x14ac:dyDescent="0.2">
      <c r="A13" s="573" t="s">
        <v>424</v>
      </c>
      <c r="B13" s="574"/>
      <c r="C13" s="574">
        <v>4533.6038040961303</v>
      </c>
      <c r="D13" s="574" t="s">
        <v>74</v>
      </c>
      <c r="E13" s="574"/>
      <c r="F13" s="575">
        <v>2.6226851096444599</v>
      </c>
    </row>
    <row r="14" spans="1:10" x14ac:dyDescent="0.2">
      <c r="A14" s="573" t="s">
        <v>425</v>
      </c>
      <c r="B14" s="574"/>
      <c r="C14" s="574">
        <v>3223.6071394621399</v>
      </c>
      <c r="D14" s="574"/>
      <c r="E14" s="574"/>
      <c r="F14" s="575">
        <v>1.9942745093741301</v>
      </c>
    </row>
    <row r="15" spans="1:10" ht="45" customHeight="1" x14ac:dyDescent="0.2">
      <c r="A15" s="573" t="s">
        <v>426</v>
      </c>
      <c r="B15" s="574"/>
      <c r="C15" s="574" t="s">
        <v>74</v>
      </c>
      <c r="D15" s="574"/>
      <c r="E15" s="574"/>
      <c r="F15" s="575" t="s">
        <v>60</v>
      </c>
    </row>
    <row r="16" spans="1:10" ht="18.75" customHeight="1" x14ac:dyDescent="0.2">
      <c r="A16" s="573" t="s">
        <v>427</v>
      </c>
      <c r="B16" s="574"/>
      <c r="C16" s="574">
        <v>156.28232636820101</v>
      </c>
      <c r="D16" s="574"/>
      <c r="E16" s="574"/>
      <c r="F16" s="575">
        <v>0.96989646049040601</v>
      </c>
    </row>
    <row r="17" spans="1:6" ht="12.75" customHeight="1" x14ac:dyDescent="0.2">
      <c r="A17" s="573" t="s">
        <v>428</v>
      </c>
      <c r="B17" s="574">
        <v>9.6159999999999997</v>
      </c>
      <c r="C17" s="574">
        <v>843.76300000000003</v>
      </c>
      <c r="D17" s="574" t="s">
        <v>74</v>
      </c>
      <c r="E17" s="574" t="s">
        <v>74</v>
      </c>
      <c r="F17" s="575">
        <v>1.17459570457055</v>
      </c>
    </row>
    <row r="18" spans="1:6" ht="47.25" customHeight="1" x14ac:dyDescent="0.2">
      <c r="A18" s="653" t="s">
        <v>942</v>
      </c>
      <c r="B18" s="653"/>
      <c r="C18" s="653"/>
      <c r="D18" s="653"/>
      <c r="E18" s="653"/>
      <c r="F18" s="653"/>
    </row>
    <row r="19" spans="1:6" x14ac:dyDescent="0.2">
      <c r="A19" s="608" t="s">
        <v>543</v>
      </c>
      <c r="B19" s="608"/>
      <c r="C19" s="608"/>
      <c r="D19" s="608"/>
      <c r="E19" s="608"/>
      <c r="F19" s="608"/>
    </row>
    <row r="20" spans="1:6" x14ac:dyDescent="0.2">
      <c r="A20" s="610" t="s">
        <v>430</v>
      </c>
      <c r="B20" s="610"/>
      <c r="C20" s="610"/>
      <c r="D20" s="610"/>
      <c r="E20" s="610"/>
      <c r="F20" s="610"/>
    </row>
  </sheetData>
  <mergeCells count="8">
    <mergeCell ref="A20:F20"/>
    <mergeCell ref="A12:F12"/>
    <mergeCell ref="H1:J2"/>
    <mergeCell ref="A18:F18"/>
    <mergeCell ref="A19:F19"/>
    <mergeCell ref="A1:F1"/>
    <mergeCell ref="A3:F3"/>
    <mergeCell ref="A5:F5"/>
  </mergeCells>
  <pageMargins left="0.6" right="0.79" top="0.79" bottom="1.06" header="0.3" footer="0.3"/>
  <pageSetup paperSize="9" fitToWidth="0" fitToHeight="0" orientation="portrait" horizontalDpi="300" verticalDpi="30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H1" sqref="H1:J2"/>
    </sheetView>
  </sheetViews>
  <sheetFormatPr baseColWidth="10" defaultColWidth="9.140625" defaultRowHeight="12.75" x14ac:dyDescent="0.2"/>
  <cols>
    <col min="1" max="1" width="27.7109375" customWidth="1"/>
    <col min="2" max="2" width="11.7109375" customWidth="1"/>
    <col min="3" max="3" width="14.7109375" customWidth="1"/>
    <col min="4" max="5" width="11.7109375" customWidth="1"/>
    <col min="6" max="6" width="9.7109375" customWidth="1"/>
  </cols>
  <sheetData>
    <row r="1" spans="1:10" ht="15" customHeight="1" x14ac:dyDescent="0.2">
      <c r="A1" s="612" t="s">
        <v>544</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ht="76.5" x14ac:dyDescent="0.2">
      <c r="A4" s="4" t="s">
        <v>545</v>
      </c>
      <c r="B4" s="4" t="s">
        <v>466</v>
      </c>
      <c r="C4" s="4" t="s">
        <v>467</v>
      </c>
      <c r="D4" s="4" t="s">
        <v>71</v>
      </c>
      <c r="E4" s="4" t="s">
        <v>72</v>
      </c>
      <c r="F4" s="4" t="s">
        <v>274</v>
      </c>
    </row>
    <row r="5" spans="1:10" ht="63.75" x14ac:dyDescent="0.2">
      <c r="A5" s="17" t="s">
        <v>546</v>
      </c>
      <c r="B5" s="300">
        <v>80</v>
      </c>
      <c r="C5" s="302"/>
      <c r="D5" s="304">
        <v>55</v>
      </c>
      <c r="E5" s="306">
        <v>2</v>
      </c>
      <c r="F5" s="308">
        <v>137</v>
      </c>
    </row>
    <row r="6" spans="1:10" x14ac:dyDescent="0.2">
      <c r="A6" s="17" t="s">
        <v>547</v>
      </c>
      <c r="B6" s="300">
        <v>6</v>
      </c>
      <c r="C6" s="302"/>
      <c r="D6" s="304"/>
      <c r="E6" s="306"/>
      <c r="F6" s="308">
        <v>6</v>
      </c>
    </row>
    <row r="7" spans="1:10" x14ac:dyDescent="0.2">
      <c r="A7" s="17" t="s">
        <v>548</v>
      </c>
      <c r="B7" s="300">
        <v>39</v>
      </c>
      <c r="C7" s="302"/>
      <c r="D7" s="304">
        <v>12</v>
      </c>
      <c r="E7" s="306">
        <v>2</v>
      </c>
      <c r="F7" s="308">
        <v>53</v>
      </c>
    </row>
    <row r="8" spans="1:10" ht="38.25" x14ac:dyDescent="0.2">
      <c r="A8" s="17" t="s">
        <v>549</v>
      </c>
      <c r="B8" s="300">
        <v>30</v>
      </c>
      <c r="C8" s="302">
        <v>2</v>
      </c>
      <c r="D8" s="304">
        <v>15</v>
      </c>
      <c r="E8" s="306"/>
      <c r="F8" s="308">
        <v>47</v>
      </c>
    </row>
    <row r="9" spans="1:10" ht="25.5" x14ac:dyDescent="0.2">
      <c r="A9" s="17" t="s">
        <v>550</v>
      </c>
      <c r="B9" s="300">
        <v>40</v>
      </c>
      <c r="C9" s="302">
        <v>5</v>
      </c>
      <c r="D9" s="304">
        <v>10</v>
      </c>
      <c r="E9" s="306">
        <v>13</v>
      </c>
      <c r="F9" s="308">
        <v>68</v>
      </c>
    </row>
    <row r="10" spans="1:10" ht="51" x14ac:dyDescent="0.2">
      <c r="A10" s="17" t="s">
        <v>551</v>
      </c>
      <c r="B10" s="300">
        <v>6</v>
      </c>
      <c r="C10" s="302"/>
      <c r="D10" s="304">
        <v>1</v>
      </c>
      <c r="E10" s="306"/>
      <c r="F10" s="308">
        <v>7</v>
      </c>
    </row>
    <row r="11" spans="1:10" x14ac:dyDescent="0.2">
      <c r="A11" s="17" t="s">
        <v>273</v>
      </c>
      <c r="B11" s="300">
        <v>4</v>
      </c>
      <c r="C11" s="302"/>
      <c r="D11" s="304">
        <v>2</v>
      </c>
      <c r="E11" s="306"/>
      <c r="F11" s="308">
        <v>6</v>
      </c>
    </row>
    <row r="12" spans="1:10" x14ac:dyDescent="0.2">
      <c r="A12" s="17" t="s">
        <v>178</v>
      </c>
      <c r="B12" s="300">
        <v>119</v>
      </c>
      <c r="C12" s="302">
        <v>3</v>
      </c>
      <c r="D12" s="304">
        <v>113</v>
      </c>
      <c r="E12" s="306">
        <v>11</v>
      </c>
      <c r="F12" s="308">
        <v>246</v>
      </c>
    </row>
    <row r="13" spans="1:10" x14ac:dyDescent="0.2">
      <c r="A13" s="6" t="s">
        <v>75</v>
      </c>
      <c r="B13" s="299">
        <v>324</v>
      </c>
      <c r="C13" s="301">
        <v>10</v>
      </c>
      <c r="D13" s="303">
        <v>208</v>
      </c>
      <c r="E13" s="305">
        <v>28</v>
      </c>
      <c r="F13" s="307">
        <v>570</v>
      </c>
    </row>
    <row r="14" spans="1:10" x14ac:dyDescent="0.2">
      <c r="A14" s="608" t="s">
        <v>473</v>
      </c>
      <c r="B14" s="609"/>
      <c r="C14" s="609"/>
      <c r="D14" s="609"/>
      <c r="E14" s="609"/>
      <c r="F14" s="609"/>
    </row>
    <row r="15" spans="1:10" x14ac:dyDescent="0.2">
      <c r="A15" s="608" t="s">
        <v>474</v>
      </c>
      <c r="B15" s="609"/>
      <c r="C15" s="609"/>
      <c r="D15" s="609"/>
      <c r="E15" s="609"/>
      <c r="F15" s="609"/>
    </row>
    <row r="16" spans="1:10" x14ac:dyDescent="0.2">
      <c r="A16" s="608" t="s">
        <v>45</v>
      </c>
      <c r="B16" s="609"/>
      <c r="C16" s="609"/>
      <c r="D16" s="609"/>
      <c r="E16" s="609"/>
      <c r="F16" s="609"/>
    </row>
    <row r="17" spans="1:6" x14ac:dyDescent="0.2">
      <c r="A17" s="610" t="s">
        <v>430</v>
      </c>
      <c r="B17" s="609"/>
      <c r="C17" s="609"/>
      <c r="D17" s="609"/>
      <c r="E17" s="609"/>
      <c r="F17" s="609"/>
    </row>
  </sheetData>
  <mergeCells count="7">
    <mergeCell ref="A16:F16"/>
    <mergeCell ref="A17:F17"/>
    <mergeCell ref="H1:J2"/>
    <mergeCell ref="A1:F1"/>
    <mergeCell ref="A3:F3"/>
    <mergeCell ref="A14:F14"/>
    <mergeCell ref="A15:F15"/>
  </mergeCells>
  <pageMargins left="0.6" right="0.79" top="0.79" bottom="1.06" header="0.3" footer="0.3"/>
  <pageSetup paperSize="9" fitToWidth="0" fitToHeight="0" orientation="portrait" horizontalDpi="300" verticalDpi="30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F1" sqref="F1:H2"/>
    </sheetView>
  </sheetViews>
  <sheetFormatPr baseColWidth="10" defaultColWidth="9.140625" defaultRowHeight="12.75" x14ac:dyDescent="0.2"/>
  <cols>
    <col min="1" max="1" width="21.7109375" customWidth="1"/>
    <col min="2" max="4" width="20.7109375" customWidth="1"/>
  </cols>
  <sheetData>
    <row r="1" spans="1:8" ht="15" customHeight="1" x14ac:dyDescent="0.2">
      <c r="A1" s="612" t="s">
        <v>552</v>
      </c>
      <c r="B1" s="609"/>
      <c r="C1" s="609"/>
      <c r="D1" s="609"/>
      <c r="F1" s="611" t="str">
        <f>HYPERLINK("#'sommaire'!A1", "Retour sommaire")</f>
        <v>Retour sommaire</v>
      </c>
      <c r="G1" s="609"/>
      <c r="H1" s="609"/>
    </row>
    <row r="2" spans="1:8" x14ac:dyDescent="0.2">
      <c r="F2" s="609"/>
      <c r="G2" s="609"/>
      <c r="H2" s="609"/>
    </row>
    <row r="3" spans="1:8" x14ac:dyDescent="0.2">
      <c r="A3" s="619" t="s">
        <v>67</v>
      </c>
      <c r="B3" s="609"/>
      <c r="C3" s="609"/>
      <c r="D3" s="609"/>
    </row>
    <row r="4" spans="1:8" ht="51" x14ac:dyDescent="0.2">
      <c r="A4" s="4" t="s">
        <v>553</v>
      </c>
      <c r="B4" s="4" t="s">
        <v>554</v>
      </c>
      <c r="C4" s="4" t="s">
        <v>555</v>
      </c>
      <c r="D4" s="4" t="s">
        <v>556</v>
      </c>
    </row>
    <row r="5" spans="1:8" x14ac:dyDescent="0.2">
      <c r="A5" s="17" t="s">
        <v>466</v>
      </c>
      <c r="B5" s="309">
        <v>262</v>
      </c>
      <c r="C5" s="310">
        <v>35</v>
      </c>
      <c r="D5" s="311">
        <v>27</v>
      </c>
    </row>
    <row r="6" spans="1:8" ht="38.25" x14ac:dyDescent="0.2">
      <c r="A6" s="17" t="s">
        <v>467</v>
      </c>
      <c r="B6" s="309">
        <v>6</v>
      </c>
      <c r="C6" s="310">
        <v>0</v>
      </c>
      <c r="D6" s="311">
        <v>4</v>
      </c>
    </row>
    <row r="7" spans="1:8" x14ac:dyDescent="0.2">
      <c r="A7" s="17" t="s">
        <v>71</v>
      </c>
      <c r="B7" s="309">
        <v>51</v>
      </c>
      <c r="C7" s="310">
        <v>32</v>
      </c>
      <c r="D7" s="311">
        <v>125</v>
      </c>
    </row>
    <row r="8" spans="1:8" x14ac:dyDescent="0.2">
      <c r="A8" s="17" t="s">
        <v>72</v>
      </c>
      <c r="B8" s="309">
        <v>24</v>
      </c>
      <c r="C8" s="310">
        <v>3</v>
      </c>
      <c r="D8" s="311">
        <v>1</v>
      </c>
    </row>
    <row r="9" spans="1:8" x14ac:dyDescent="0.2">
      <c r="A9" s="608" t="s">
        <v>473</v>
      </c>
      <c r="B9" s="609"/>
      <c r="C9" s="609"/>
      <c r="D9" s="609"/>
    </row>
    <row r="10" spans="1:8" ht="25.5" customHeight="1" x14ac:dyDescent="0.2">
      <c r="A10" s="608" t="s">
        <v>474</v>
      </c>
      <c r="B10" s="609"/>
      <c r="C10" s="609"/>
      <c r="D10" s="609"/>
    </row>
    <row r="11" spans="1:8" x14ac:dyDescent="0.2">
      <c r="A11" s="608" t="s">
        <v>45</v>
      </c>
      <c r="B11" s="609"/>
      <c r="C11" s="609"/>
      <c r="D11" s="609"/>
    </row>
    <row r="12" spans="1:8" x14ac:dyDescent="0.2">
      <c r="A12" s="610" t="s">
        <v>430</v>
      </c>
      <c r="B12" s="609"/>
      <c r="C12" s="609"/>
      <c r="D12" s="609"/>
    </row>
  </sheetData>
  <mergeCells count="7">
    <mergeCell ref="A11:D11"/>
    <mergeCell ref="A12:D12"/>
    <mergeCell ref="F1:H2"/>
    <mergeCell ref="A1:D1"/>
    <mergeCell ref="A3:D3"/>
    <mergeCell ref="A9:D9"/>
    <mergeCell ref="A10:D10"/>
  </mergeCells>
  <pageMargins left="0.6" right="0.79" top="0.79" bottom="1.06" header="0.3" footer="0.3"/>
  <pageSetup paperSize="9" fitToWidth="0" fitToHeight="0" orientation="portrait" horizontalDpi="300" verticalDpi="30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E1" sqref="E1:G2"/>
    </sheetView>
  </sheetViews>
  <sheetFormatPr baseColWidth="10" defaultColWidth="9.140625" defaultRowHeight="12.75" x14ac:dyDescent="0.2"/>
  <cols>
    <col min="1" max="3" width="25.7109375" customWidth="1"/>
  </cols>
  <sheetData>
    <row r="1" spans="1:7" ht="15" customHeight="1" x14ac:dyDescent="0.2">
      <c r="A1" s="612" t="s">
        <v>557</v>
      </c>
      <c r="B1" s="609"/>
      <c r="C1" s="609"/>
      <c r="E1" s="611" t="str">
        <f>HYPERLINK("#'sommaire'!A1", "Retour sommaire")</f>
        <v>Retour sommaire</v>
      </c>
      <c r="F1" s="609"/>
      <c r="G1" s="609"/>
    </row>
    <row r="2" spans="1:7" x14ac:dyDescent="0.2">
      <c r="E2" s="609"/>
      <c r="F2" s="609"/>
      <c r="G2" s="609"/>
    </row>
    <row r="3" spans="1:7" x14ac:dyDescent="0.2">
      <c r="A3" s="619" t="s">
        <v>67</v>
      </c>
      <c r="B3" s="609"/>
      <c r="C3" s="609"/>
    </row>
    <row r="4" spans="1:7" ht="38.25" x14ac:dyDescent="0.2">
      <c r="A4" s="4" t="s">
        <v>553</v>
      </c>
      <c r="B4" s="4" t="s">
        <v>558</v>
      </c>
      <c r="C4" s="4" t="s">
        <v>82</v>
      </c>
    </row>
    <row r="5" spans="1:7" x14ac:dyDescent="0.2">
      <c r="A5" s="614" t="s">
        <v>466</v>
      </c>
      <c r="B5" s="17" t="s">
        <v>55</v>
      </c>
      <c r="C5" s="312">
        <v>272</v>
      </c>
    </row>
    <row r="6" spans="1:7" x14ac:dyDescent="0.2">
      <c r="A6" s="614" t="s">
        <v>466</v>
      </c>
      <c r="B6" s="17" t="s">
        <v>559</v>
      </c>
      <c r="C6" s="312">
        <v>10</v>
      </c>
    </row>
    <row r="7" spans="1:7" x14ac:dyDescent="0.2">
      <c r="A7" s="614" t="s">
        <v>466</v>
      </c>
      <c r="B7" s="17" t="s">
        <v>560</v>
      </c>
      <c r="C7" s="312">
        <v>7</v>
      </c>
    </row>
    <row r="8" spans="1:7" x14ac:dyDescent="0.2">
      <c r="A8" s="614" t="s">
        <v>466</v>
      </c>
      <c r="B8" s="17" t="s">
        <v>561</v>
      </c>
      <c r="C8" s="312">
        <v>4</v>
      </c>
    </row>
    <row r="9" spans="1:7" x14ac:dyDescent="0.2">
      <c r="A9" s="614" t="s">
        <v>466</v>
      </c>
      <c r="B9" s="17" t="s">
        <v>562</v>
      </c>
      <c r="C9" s="312">
        <v>8</v>
      </c>
    </row>
    <row r="10" spans="1:7" x14ac:dyDescent="0.2">
      <c r="A10" s="614" t="s">
        <v>466</v>
      </c>
      <c r="B10" s="17" t="s">
        <v>178</v>
      </c>
      <c r="C10" s="312">
        <v>23</v>
      </c>
    </row>
    <row r="11" spans="1:7" ht="38.25" x14ac:dyDescent="0.2">
      <c r="A11" s="17" t="s">
        <v>467</v>
      </c>
      <c r="B11" s="17" t="s">
        <v>55</v>
      </c>
      <c r="C11" s="312">
        <v>10</v>
      </c>
    </row>
    <row r="12" spans="1:7" x14ac:dyDescent="0.2">
      <c r="A12" s="614" t="s">
        <v>71</v>
      </c>
      <c r="B12" s="17" t="s">
        <v>55</v>
      </c>
      <c r="C12" s="312">
        <v>156</v>
      </c>
    </row>
    <row r="13" spans="1:7" x14ac:dyDescent="0.2">
      <c r="A13" s="614" t="s">
        <v>71</v>
      </c>
      <c r="B13" s="17" t="s">
        <v>559</v>
      </c>
      <c r="C13" s="312">
        <v>14</v>
      </c>
    </row>
    <row r="14" spans="1:7" x14ac:dyDescent="0.2">
      <c r="A14" s="614" t="s">
        <v>71</v>
      </c>
      <c r="B14" s="17" t="s">
        <v>561</v>
      </c>
      <c r="C14" s="312">
        <v>8</v>
      </c>
    </row>
    <row r="15" spans="1:7" x14ac:dyDescent="0.2">
      <c r="A15" s="614" t="s">
        <v>71</v>
      </c>
      <c r="B15" s="17" t="s">
        <v>560</v>
      </c>
      <c r="C15" s="312">
        <v>3</v>
      </c>
    </row>
    <row r="16" spans="1:7" ht="25.5" x14ac:dyDescent="0.2">
      <c r="A16" s="614" t="s">
        <v>71</v>
      </c>
      <c r="B16" s="17" t="s">
        <v>58</v>
      </c>
      <c r="C16" s="312">
        <v>1</v>
      </c>
    </row>
    <row r="17" spans="1:3" x14ac:dyDescent="0.2">
      <c r="A17" s="614" t="s">
        <v>71</v>
      </c>
      <c r="B17" s="17" t="s">
        <v>562</v>
      </c>
      <c r="C17" s="312">
        <v>10</v>
      </c>
    </row>
    <row r="18" spans="1:3" x14ac:dyDescent="0.2">
      <c r="A18" s="614" t="s">
        <v>71</v>
      </c>
      <c r="B18" s="17" t="s">
        <v>178</v>
      </c>
      <c r="C18" s="312">
        <v>16</v>
      </c>
    </row>
    <row r="19" spans="1:3" x14ac:dyDescent="0.2">
      <c r="A19" s="614" t="s">
        <v>72</v>
      </c>
      <c r="B19" s="17" t="s">
        <v>55</v>
      </c>
      <c r="C19" s="312">
        <v>23</v>
      </c>
    </row>
    <row r="20" spans="1:3" x14ac:dyDescent="0.2">
      <c r="A20" s="614" t="s">
        <v>72</v>
      </c>
      <c r="B20" s="17" t="s">
        <v>562</v>
      </c>
      <c r="C20" s="312">
        <v>1</v>
      </c>
    </row>
    <row r="21" spans="1:3" x14ac:dyDescent="0.2">
      <c r="A21" s="614" t="s">
        <v>72</v>
      </c>
      <c r="B21" s="17" t="s">
        <v>178</v>
      </c>
      <c r="C21" s="312">
        <v>4</v>
      </c>
    </row>
    <row r="22" spans="1:3" ht="61.5" customHeight="1" x14ac:dyDescent="0.2">
      <c r="A22" s="629" t="s">
        <v>966</v>
      </c>
      <c r="B22" s="609"/>
      <c r="C22" s="609"/>
    </row>
    <row r="23" spans="1:3" x14ac:dyDescent="0.2">
      <c r="A23" s="610" t="s">
        <v>430</v>
      </c>
      <c r="B23" s="609"/>
      <c r="C23" s="609"/>
    </row>
  </sheetData>
  <mergeCells count="8">
    <mergeCell ref="E1:G2"/>
    <mergeCell ref="A1:C1"/>
    <mergeCell ref="A3:C3"/>
    <mergeCell ref="A22:C22"/>
    <mergeCell ref="A23:C23"/>
    <mergeCell ref="A5:A10"/>
    <mergeCell ref="A12:A18"/>
    <mergeCell ref="A19:A21"/>
  </mergeCells>
  <pageMargins left="0.6" right="0.79" top="0.79" bottom="1.06" header="0.3" footer="0.3"/>
  <pageSetup paperSize="9" fitToWidth="0" fitToHeight="0" orientation="portrait" horizontalDpi="300" verticalDpi="30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activeCell="I1" sqref="I1:K2"/>
    </sheetView>
  </sheetViews>
  <sheetFormatPr baseColWidth="10" defaultColWidth="9.140625" defaultRowHeight="12.75" x14ac:dyDescent="0.2"/>
  <cols>
    <col min="1" max="1" width="13.7109375" customWidth="1"/>
    <col min="2" max="2" width="15.7109375" customWidth="1"/>
    <col min="3" max="3" width="14.7109375" customWidth="1"/>
    <col min="4" max="4" width="8.7109375" customWidth="1"/>
    <col min="5" max="7" width="11.7109375" customWidth="1"/>
  </cols>
  <sheetData>
    <row r="1" spans="1:11" ht="15" customHeight="1" x14ac:dyDescent="0.2">
      <c r="A1" s="612" t="s">
        <v>563</v>
      </c>
      <c r="B1" s="609"/>
      <c r="C1" s="609"/>
      <c r="D1" s="609"/>
      <c r="E1" s="609"/>
      <c r="F1" s="609"/>
      <c r="G1" s="609"/>
      <c r="I1" s="611" t="str">
        <f>HYPERLINK("#'sommaire'!A1", "Retour sommaire")</f>
        <v>Retour sommaire</v>
      </c>
      <c r="J1" s="609"/>
      <c r="K1" s="609"/>
    </row>
    <row r="2" spans="1:11" x14ac:dyDescent="0.2">
      <c r="I2" s="609"/>
      <c r="J2" s="609"/>
      <c r="K2" s="609"/>
    </row>
    <row r="3" spans="1:11" x14ac:dyDescent="0.2">
      <c r="A3" s="619" t="s">
        <v>67</v>
      </c>
      <c r="B3" s="609"/>
      <c r="C3" s="609"/>
      <c r="D3" s="609"/>
      <c r="E3" s="609"/>
      <c r="F3" s="609"/>
      <c r="G3" s="609"/>
    </row>
    <row r="4" spans="1:11" ht="89.25" x14ac:dyDescent="0.2">
      <c r="A4" s="4" t="s">
        <v>553</v>
      </c>
      <c r="B4" s="4" t="s">
        <v>53</v>
      </c>
      <c r="C4" s="4" t="s">
        <v>58</v>
      </c>
      <c r="D4" s="4" t="s">
        <v>561</v>
      </c>
      <c r="E4" s="4" t="s">
        <v>559</v>
      </c>
      <c r="F4" s="4" t="s">
        <v>564</v>
      </c>
      <c r="G4" s="4" t="s">
        <v>565</v>
      </c>
    </row>
    <row r="5" spans="1:11" ht="76.5" x14ac:dyDescent="0.2">
      <c r="A5" s="17" t="s">
        <v>467</v>
      </c>
      <c r="B5" s="313">
        <v>0</v>
      </c>
      <c r="C5" s="314">
        <v>0</v>
      </c>
      <c r="D5" s="315">
        <v>0</v>
      </c>
      <c r="E5" s="316">
        <v>0</v>
      </c>
      <c r="F5" s="317">
        <v>0</v>
      </c>
      <c r="G5" s="318">
        <v>0</v>
      </c>
    </row>
    <row r="6" spans="1:11" ht="25.5" x14ac:dyDescent="0.2">
      <c r="A6" s="17" t="s">
        <v>466</v>
      </c>
      <c r="B6" s="313">
        <v>0</v>
      </c>
      <c r="C6" s="314">
        <v>0</v>
      </c>
      <c r="D6" s="315">
        <v>1</v>
      </c>
      <c r="E6" s="316">
        <v>0</v>
      </c>
      <c r="F6" s="317">
        <v>3</v>
      </c>
      <c r="G6" s="318">
        <v>0</v>
      </c>
    </row>
    <row r="7" spans="1:11" ht="25.5" x14ac:dyDescent="0.2">
      <c r="A7" s="17" t="s">
        <v>71</v>
      </c>
      <c r="B7" s="313">
        <v>0</v>
      </c>
      <c r="C7" s="314">
        <v>0</v>
      </c>
      <c r="D7" s="315">
        <v>0</v>
      </c>
      <c r="E7" s="316">
        <v>0</v>
      </c>
      <c r="F7" s="317">
        <v>3</v>
      </c>
      <c r="G7" s="318">
        <v>0</v>
      </c>
    </row>
    <row r="8" spans="1:11" ht="25.5" x14ac:dyDescent="0.2">
      <c r="A8" s="17" t="s">
        <v>72</v>
      </c>
      <c r="B8" s="313">
        <v>0</v>
      </c>
      <c r="C8" s="314">
        <v>0</v>
      </c>
      <c r="D8" s="315">
        <v>0</v>
      </c>
      <c r="E8" s="316">
        <v>0</v>
      </c>
      <c r="F8" s="317">
        <v>0</v>
      </c>
      <c r="G8" s="318">
        <v>0</v>
      </c>
    </row>
    <row r="9" spans="1:11" ht="34.5" customHeight="1" x14ac:dyDescent="0.2">
      <c r="A9" s="608" t="s">
        <v>566</v>
      </c>
      <c r="B9" s="609"/>
      <c r="C9" s="609"/>
      <c r="D9" s="609"/>
      <c r="E9" s="609"/>
      <c r="F9" s="609"/>
      <c r="G9" s="609"/>
    </row>
    <row r="10" spans="1:11" x14ac:dyDescent="0.2">
      <c r="A10" s="610" t="s">
        <v>430</v>
      </c>
      <c r="B10" s="609"/>
      <c r="C10" s="609"/>
      <c r="D10" s="609"/>
      <c r="E10" s="609"/>
      <c r="F10" s="609"/>
      <c r="G10" s="609"/>
    </row>
  </sheetData>
  <mergeCells count="5">
    <mergeCell ref="I1:K2"/>
    <mergeCell ref="A1:G1"/>
    <mergeCell ref="A3:G3"/>
    <mergeCell ref="A9:G9"/>
    <mergeCell ref="A10:G10"/>
  </mergeCells>
  <pageMargins left="0.6" right="0.79" top="0.79" bottom="1.06" header="0.3" footer="0.3"/>
  <pageSetup paperSize="9" fitToWidth="0" fitToHeight="0" orientation="portrait" horizontalDpi="300" verticalDpi="30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G1" sqref="G1:I2"/>
    </sheetView>
  </sheetViews>
  <sheetFormatPr baseColWidth="10" defaultColWidth="9.140625" defaultRowHeight="12.75" x14ac:dyDescent="0.2"/>
  <cols>
    <col min="1" max="1" width="19.7109375" customWidth="1"/>
    <col min="2" max="5" width="16.7109375" customWidth="1"/>
  </cols>
  <sheetData>
    <row r="1" spans="1:9" ht="15" customHeight="1" x14ac:dyDescent="0.2">
      <c r="A1" s="612" t="s">
        <v>567</v>
      </c>
      <c r="B1" s="609"/>
      <c r="C1" s="609"/>
      <c r="D1" s="609"/>
      <c r="E1" s="609"/>
      <c r="G1" s="611" t="str">
        <f>HYPERLINK("#'sommaire'!A1", "Retour sommaire")</f>
        <v>Retour sommaire</v>
      </c>
      <c r="H1" s="609"/>
      <c r="I1" s="609"/>
    </row>
    <row r="2" spans="1:9" x14ac:dyDescent="0.2">
      <c r="G2" s="609"/>
      <c r="H2" s="609"/>
      <c r="I2" s="609"/>
    </row>
    <row r="3" spans="1:9" x14ac:dyDescent="0.2">
      <c r="A3" s="619" t="s">
        <v>67</v>
      </c>
      <c r="B3" s="609"/>
      <c r="C3" s="609"/>
      <c r="D3" s="609"/>
      <c r="E3" s="609"/>
    </row>
    <row r="4" spans="1:9" ht="51" x14ac:dyDescent="0.2">
      <c r="A4" s="4" t="s">
        <v>553</v>
      </c>
      <c r="B4" s="4" t="s">
        <v>568</v>
      </c>
      <c r="C4" s="4" t="s">
        <v>569</v>
      </c>
      <c r="D4" s="4" t="s">
        <v>570</v>
      </c>
      <c r="E4" s="4" t="s">
        <v>571</v>
      </c>
    </row>
    <row r="5" spans="1:9" ht="25.5" x14ac:dyDescent="0.2">
      <c r="A5" s="17" t="s">
        <v>466</v>
      </c>
      <c r="B5" s="319">
        <v>271</v>
      </c>
      <c r="C5" s="320">
        <v>21</v>
      </c>
      <c r="D5" s="321">
        <v>9</v>
      </c>
      <c r="E5" s="322">
        <v>23</v>
      </c>
    </row>
    <row r="6" spans="1:9" ht="51" x14ac:dyDescent="0.2">
      <c r="A6" s="17" t="s">
        <v>467</v>
      </c>
      <c r="B6" s="319">
        <v>10</v>
      </c>
      <c r="C6" s="320">
        <v>0</v>
      </c>
      <c r="D6" s="321">
        <v>0</v>
      </c>
      <c r="E6" s="322">
        <v>0</v>
      </c>
    </row>
    <row r="7" spans="1:9" x14ac:dyDescent="0.2">
      <c r="A7" s="17" t="s">
        <v>71</v>
      </c>
      <c r="B7" s="319">
        <v>145</v>
      </c>
      <c r="C7" s="320">
        <v>32</v>
      </c>
      <c r="D7" s="321">
        <v>15</v>
      </c>
      <c r="E7" s="322">
        <v>16</v>
      </c>
    </row>
    <row r="8" spans="1:9" x14ac:dyDescent="0.2">
      <c r="A8" s="17" t="s">
        <v>72</v>
      </c>
      <c r="B8" s="319">
        <v>23</v>
      </c>
      <c r="C8" s="320">
        <v>1</v>
      </c>
      <c r="D8" s="321">
        <v>0</v>
      </c>
      <c r="E8" s="322">
        <v>4</v>
      </c>
    </row>
    <row r="9" spans="1:9" x14ac:dyDescent="0.2">
      <c r="A9" s="610" t="s">
        <v>430</v>
      </c>
      <c r="B9" s="609"/>
      <c r="C9" s="609"/>
      <c r="D9" s="609"/>
      <c r="E9" s="609"/>
    </row>
  </sheetData>
  <mergeCells count="4">
    <mergeCell ref="G1:I2"/>
    <mergeCell ref="A1:E1"/>
    <mergeCell ref="A3:E3"/>
    <mergeCell ref="A9:E9"/>
  </mergeCells>
  <pageMargins left="0.6" right="0.79" top="0.79" bottom="1.06" header="0.3" footer="0.3"/>
  <pageSetup paperSize="9" fitToWidth="0" fitToHeight="0" orientation="portrait" horizontalDpi="300" verticalDpi="3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J1" sqref="J1:L2"/>
    </sheetView>
  </sheetViews>
  <sheetFormatPr baseColWidth="10" defaultColWidth="9.140625" defaultRowHeight="12.75" x14ac:dyDescent="0.2"/>
  <cols>
    <col min="1" max="1" width="16.7109375" customWidth="1"/>
    <col min="2" max="4" width="11.7109375" customWidth="1"/>
    <col min="5" max="5" width="1.7109375" customWidth="1"/>
    <col min="6" max="8" width="11.7109375" customWidth="1"/>
  </cols>
  <sheetData>
    <row r="1" spans="1:12" ht="15" customHeight="1" x14ac:dyDescent="0.2">
      <c r="A1" s="612" t="s">
        <v>572</v>
      </c>
      <c r="B1" s="609"/>
      <c r="C1" s="609"/>
      <c r="D1" s="609"/>
      <c r="E1" s="609"/>
      <c r="F1" s="609"/>
      <c r="G1" s="609"/>
      <c r="H1" s="609"/>
      <c r="J1" s="611" t="str">
        <f>HYPERLINK("#'sommaire'!A1", "Retour sommaire")</f>
        <v>Retour sommaire</v>
      </c>
      <c r="K1" s="609"/>
      <c r="L1" s="609"/>
    </row>
    <row r="2" spans="1:12" x14ac:dyDescent="0.2">
      <c r="J2" s="609"/>
      <c r="K2" s="609"/>
      <c r="L2" s="609"/>
    </row>
    <row r="3" spans="1:12" x14ac:dyDescent="0.2">
      <c r="A3" s="619" t="s">
        <v>67</v>
      </c>
      <c r="B3" s="609"/>
      <c r="C3" s="609"/>
      <c r="D3" s="609"/>
      <c r="E3" s="609"/>
      <c r="F3" s="609"/>
      <c r="G3" s="609"/>
      <c r="H3" s="609"/>
    </row>
    <row r="4" spans="1:12" ht="27" customHeight="1" x14ac:dyDescent="0.2">
      <c r="A4" s="654" t="s">
        <v>553</v>
      </c>
      <c r="B4" s="657" t="s">
        <v>944</v>
      </c>
      <c r="C4" s="658"/>
      <c r="D4" s="658"/>
      <c r="E4" s="658"/>
      <c r="F4" s="658"/>
      <c r="G4" s="658"/>
      <c r="H4" s="659"/>
    </row>
    <row r="5" spans="1:12" s="572" customFormat="1" ht="31.5" customHeight="1" x14ac:dyDescent="0.2">
      <c r="A5" s="655"/>
      <c r="B5" s="640" t="s">
        <v>945</v>
      </c>
      <c r="C5" s="641"/>
      <c r="D5" s="642"/>
      <c r="E5" s="593"/>
      <c r="F5" s="640" t="s">
        <v>946</v>
      </c>
      <c r="G5" s="641"/>
      <c r="H5" s="642"/>
    </row>
    <row r="6" spans="1:12" s="572" customFormat="1" ht="25.5" x14ac:dyDescent="0.2">
      <c r="A6" s="656"/>
      <c r="B6" s="4" t="s">
        <v>947</v>
      </c>
      <c r="C6" s="4" t="s">
        <v>875</v>
      </c>
      <c r="D6" s="4" t="s">
        <v>760</v>
      </c>
      <c r="E6" s="594"/>
      <c r="F6" s="4" t="s">
        <v>947</v>
      </c>
      <c r="G6" s="4" t="s">
        <v>875</v>
      </c>
      <c r="H6" s="4" t="s">
        <v>760</v>
      </c>
    </row>
    <row r="7" spans="1:12" ht="25.5" x14ac:dyDescent="0.2">
      <c r="A7" s="17" t="s">
        <v>466</v>
      </c>
      <c r="B7" s="323">
        <v>258</v>
      </c>
      <c r="C7" s="324">
        <v>43</v>
      </c>
      <c r="D7" s="325">
        <v>23</v>
      </c>
      <c r="E7" s="618"/>
      <c r="F7" s="326">
        <v>114</v>
      </c>
      <c r="G7" s="327">
        <v>187</v>
      </c>
      <c r="H7" s="328">
        <v>23</v>
      </c>
    </row>
    <row r="8" spans="1:12" ht="63.75" x14ac:dyDescent="0.2">
      <c r="A8" s="17" t="s">
        <v>467</v>
      </c>
      <c r="B8" s="323">
        <v>9</v>
      </c>
      <c r="C8" s="324">
        <v>1</v>
      </c>
      <c r="D8" s="325">
        <v>0</v>
      </c>
      <c r="E8" s="618"/>
      <c r="F8" s="326">
        <v>7</v>
      </c>
      <c r="G8" s="327">
        <v>3</v>
      </c>
      <c r="H8" s="328">
        <v>0</v>
      </c>
    </row>
    <row r="9" spans="1:12" ht="25.5" x14ac:dyDescent="0.2">
      <c r="A9" s="17" t="s">
        <v>71</v>
      </c>
      <c r="B9" s="323">
        <v>136</v>
      </c>
      <c r="C9" s="324">
        <v>56</v>
      </c>
      <c r="D9" s="325">
        <v>16</v>
      </c>
      <c r="E9" s="618"/>
      <c r="F9" s="326">
        <v>51</v>
      </c>
      <c r="G9" s="327">
        <v>141</v>
      </c>
      <c r="H9" s="328">
        <v>16</v>
      </c>
    </row>
    <row r="10" spans="1:12" ht="25.5" x14ac:dyDescent="0.2">
      <c r="A10" s="17" t="s">
        <v>72</v>
      </c>
      <c r="B10" s="323">
        <v>23</v>
      </c>
      <c r="C10" s="324">
        <v>1</v>
      </c>
      <c r="D10" s="325">
        <v>4</v>
      </c>
      <c r="E10" s="618"/>
      <c r="F10" s="326">
        <v>13</v>
      </c>
      <c r="G10" s="327">
        <v>11</v>
      </c>
      <c r="H10" s="328">
        <v>4</v>
      </c>
    </row>
    <row r="11" spans="1:12" x14ac:dyDescent="0.2">
      <c r="A11" s="610" t="s">
        <v>430</v>
      </c>
      <c r="B11" s="609"/>
      <c r="C11" s="609"/>
      <c r="D11" s="609"/>
      <c r="E11" s="609"/>
      <c r="F11" s="609"/>
      <c r="G11" s="609"/>
      <c r="H11" s="609"/>
    </row>
  </sheetData>
  <mergeCells count="9">
    <mergeCell ref="J1:L2"/>
    <mergeCell ref="A1:H1"/>
    <mergeCell ref="A3:H3"/>
    <mergeCell ref="A11:H11"/>
    <mergeCell ref="E7:E10"/>
    <mergeCell ref="A4:A6"/>
    <mergeCell ref="B5:D5"/>
    <mergeCell ref="F5:H5"/>
    <mergeCell ref="B4:H4"/>
  </mergeCells>
  <pageMargins left="0.6" right="0.79" top="0.79" bottom="1.06" header="0.3" footer="0.3"/>
  <pageSetup paperSize="9" fitToWidth="0" fitToHeight="0" orientation="portrait" horizontalDpi="300" verticalDpi="30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election activeCell="K1" sqref="K1:M2"/>
    </sheetView>
  </sheetViews>
  <sheetFormatPr baseColWidth="10" defaultColWidth="9.140625" defaultRowHeight="12.75" x14ac:dyDescent="0.2"/>
  <cols>
    <col min="1" max="1" width="15.7109375" customWidth="1"/>
    <col min="2" max="3" width="11.7109375" customWidth="1"/>
    <col min="4" max="4" width="1.7109375" customWidth="1"/>
    <col min="5" max="6" width="11.7109375" customWidth="1"/>
    <col min="7" max="7" width="1.7109375" customWidth="1"/>
    <col min="8" max="9" width="11.7109375" customWidth="1"/>
  </cols>
  <sheetData>
    <row r="1" spans="1:13" ht="15" customHeight="1" x14ac:dyDescent="0.2">
      <c r="A1" s="612" t="s">
        <v>573</v>
      </c>
      <c r="B1" s="609"/>
      <c r="C1" s="609"/>
      <c r="D1" s="609"/>
      <c r="E1" s="609"/>
      <c r="F1" s="609"/>
      <c r="G1" s="609"/>
      <c r="H1" s="609"/>
      <c r="I1" s="609"/>
      <c r="K1" s="611" t="str">
        <f>HYPERLINK("#'sommaire'!A1", "Retour sommaire")</f>
        <v>Retour sommaire</v>
      </c>
      <c r="L1" s="609"/>
      <c r="M1" s="609"/>
    </row>
    <row r="2" spans="1:13" x14ac:dyDescent="0.2">
      <c r="K2" s="609"/>
      <c r="L2" s="609"/>
      <c r="M2" s="609"/>
    </row>
    <row r="3" spans="1:13" x14ac:dyDescent="0.2">
      <c r="A3" s="619" t="s">
        <v>67</v>
      </c>
      <c r="B3" s="609"/>
      <c r="C3" s="609"/>
      <c r="D3" s="609"/>
      <c r="E3" s="609"/>
      <c r="F3" s="609"/>
      <c r="G3" s="609"/>
      <c r="H3" s="609"/>
      <c r="I3" s="609"/>
    </row>
    <row r="4" spans="1:13" ht="33" customHeight="1" x14ac:dyDescent="0.2">
      <c r="A4" s="654" t="s">
        <v>553</v>
      </c>
      <c r="B4" s="640" t="s">
        <v>948</v>
      </c>
      <c r="C4" s="641"/>
      <c r="D4" s="641"/>
      <c r="E4" s="641"/>
      <c r="F4" s="641"/>
      <c r="G4" s="641"/>
      <c r="H4" s="641"/>
      <c r="I4" s="642"/>
    </row>
    <row r="5" spans="1:13" s="572" customFormat="1" ht="43.5" customHeight="1" x14ac:dyDescent="0.2">
      <c r="A5" s="655"/>
      <c r="B5" s="640" t="s">
        <v>949</v>
      </c>
      <c r="C5" s="642"/>
      <c r="D5" s="654"/>
      <c r="E5" s="640" t="s">
        <v>950</v>
      </c>
      <c r="F5" s="642"/>
      <c r="G5" s="654"/>
      <c r="H5" s="640" t="s">
        <v>951</v>
      </c>
      <c r="I5" s="642"/>
    </row>
    <row r="6" spans="1:13" s="572" customFormat="1" x14ac:dyDescent="0.2">
      <c r="A6" s="656"/>
      <c r="B6" s="4" t="s">
        <v>947</v>
      </c>
      <c r="C6" s="4" t="s">
        <v>875</v>
      </c>
      <c r="D6" s="656"/>
      <c r="E6" s="4" t="s">
        <v>947</v>
      </c>
      <c r="F6" s="4" t="s">
        <v>875</v>
      </c>
      <c r="G6" s="656"/>
      <c r="H6" s="4" t="s">
        <v>947</v>
      </c>
      <c r="I6" s="4" t="s">
        <v>875</v>
      </c>
    </row>
    <row r="7" spans="1:13" ht="25.5" x14ac:dyDescent="0.2">
      <c r="A7" s="17" t="s">
        <v>466</v>
      </c>
      <c r="B7" s="329">
        <v>221</v>
      </c>
      <c r="C7" s="330">
        <v>103</v>
      </c>
      <c r="D7" s="618"/>
      <c r="E7" s="331">
        <v>76</v>
      </c>
      <c r="F7" s="332">
        <v>248</v>
      </c>
      <c r="G7" s="333"/>
      <c r="H7" s="334">
        <v>33</v>
      </c>
      <c r="I7" s="335">
        <v>291</v>
      </c>
    </row>
    <row r="8" spans="1:13" ht="63.75" x14ac:dyDescent="0.2">
      <c r="A8" s="17" t="s">
        <v>467</v>
      </c>
      <c r="B8" s="329">
        <v>10</v>
      </c>
      <c r="C8" s="330">
        <v>0</v>
      </c>
      <c r="D8" s="618"/>
      <c r="E8" s="331">
        <v>6</v>
      </c>
      <c r="F8" s="332">
        <v>4</v>
      </c>
      <c r="G8" s="333"/>
      <c r="H8" s="334">
        <v>1</v>
      </c>
      <c r="I8" s="335">
        <v>9</v>
      </c>
    </row>
    <row r="9" spans="1:13" ht="25.5" x14ac:dyDescent="0.2">
      <c r="A9" s="17" t="s">
        <v>71</v>
      </c>
      <c r="B9" s="329">
        <v>150</v>
      </c>
      <c r="C9" s="330">
        <v>58</v>
      </c>
      <c r="D9" s="618"/>
      <c r="E9" s="331">
        <v>7</v>
      </c>
      <c r="F9" s="332">
        <v>201</v>
      </c>
      <c r="G9" s="333"/>
      <c r="H9" s="334">
        <v>1</v>
      </c>
      <c r="I9" s="335">
        <v>207</v>
      </c>
    </row>
    <row r="10" spans="1:13" ht="25.5" x14ac:dyDescent="0.2">
      <c r="A10" s="17" t="s">
        <v>72</v>
      </c>
      <c r="B10" s="329">
        <v>19</v>
      </c>
      <c r="C10" s="330">
        <v>9</v>
      </c>
      <c r="D10" s="618"/>
      <c r="E10" s="331">
        <v>10</v>
      </c>
      <c r="F10" s="332">
        <v>18</v>
      </c>
      <c r="G10" s="333"/>
      <c r="H10" s="334">
        <v>0</v>
      </c>
      <c r="I10" s="335">
        <v>28</v>
      </c>
    </row>
    <row r="11" spans="1:13" x14ac:dyDescent="0.2">
      <c r="A11" s="610" t="s">
        <v>430</v>
      </c>
      <c r="B11" s="609"/>
      <c r="C11" s="609"/>
      <c r="D11" s="609"/>
      <c r="E11" s="609"/>
      <c r="F11" s="609"/>
      <c r="G11" s="609"/>
      <c r="H11" s="609"/>
      <c r="I11" s="609"/>
    </row>
  </sheetData>
  <mergeCells count="12">
    <mergeCell ref="K1:M2"/>
    <mergeCell ref="A1:I1"/>
    <mergeCell ref="A3:I3"/>
    <mergeCell ref="A11:I11"/>
    <mergeCell ref="D7:D10"/>
    <mergeCell ref="A4:A6"/>
    <mergeCell ref="B4:I4"/>
    <mergeCell ref="B5:C5"/>
    <mergeCell ref="E5:F5"/>
    <mergeCell ref="H5:I5"/>
    <mergeCell ref="D5:D6"/>
    <mergeCell ref="G5:G6"/>
  </mergeCells>
  <pageMargins left="0.6" right="0.79" top="0.79" bottom="1.06" header="0.3" footer="0.3"/>
  <pageSetup paperSize="9" fitToWidth="0" fitToHeight="0" orientation="portrait" horizontalDpi="300" verticalDpi="30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H1" sqref="H1:J2"/>
    </sheetView>
  </sheetViews>
  <sheetFormatPr baseColWidth="10" defaultColWidth="9.140625" defaultRowHeight="12.75" x14ac:dyDescent="0.2"/>
  <cols>
    <col min="1" max="1" width="16.7109375" customWidth="1"/>
    <col min="2" max="2" width="17.7109375" customWidth="1"/>
    <col min="3" max="3" width="12.7109375" customWidth="1"/>
    <col min="4" max="4" width="14.7109375" customWidth="1"/>
    <col min="5" max="6" width="12.7109375" customWidth="1"/>
  </cols>
  <sheetData>
    <row r="1" spans="1:10" ht="39" customHeight="1" x14ac:dyDescent="0.2">
      <c r="A1" s="612" t="s">
        <v>574</v>
      </c>
      <c r="B1" s="609"/>
      <c r="C1" s="609"/>
      <c r="D1" s="609"/>
      <c r="E1" s="609"/>
      <c r="F1" s="609"/>
      <c r="H1" s="611" t="str">
        <f>HYPERLINK("#'sommaire'!A1", "Retour sommaire")</f>
        <v>Retour sommaire</v>
      </c>
      <c r="I1" s="609"/>
      <c r="J1" s="609"/>
    </row>
    <row r="2" spans="1:10" x14ac:dyDescent="0.2">
      <c r="H2" s="609"/>
      <c r="I2" s="609"/>
      <c r="J2" s="609"/>
    </row>
    <row r="3" spans="1:10" x14ac:dyDescent="0.2">
      <c r="A3" s="619" t="s">
        <v>575</v>
      </c>
      <c r="B3" s="609"/>
      <c r="C3" s="609"/>
      <c r="D3" s="609"/>
      <c r="E3" s="609"/>
      <c r="F3" s="609"/>
    </row>
    <row r="4" spans="1:10" ht="76.5" x14ac:dyDescent="0.2">
      <c r="A4" s="4" t="s">
        <v>576</v>
      </c>
      <c r="B4" s="4" t="s">
        <v>16</v>
      </c>
      <c r="C4" s="4" t="s">
        <v>466</v>
      </c>
      <c r="D4" s="4" t="s">
        <v>467</v>
      </c>
      <c r="E4" s="4" t="s">
        <v>72</v>
      </c>
      <c r="F4" s="4" t="s">
        <v>71</v>
      </c>
    </row>
    <row r="5" spans="1:10" ht="25.5" x14ac:dyDescent="0.2">
      <c r="A5" s="614" t="s">
        <v>577</v>
      </c>
      <c r="B5" s="17" t="s">
        <v>578</v>
      </c>
      <c r="C5" s="336">
        <v>0.30864197530864201</v>
      </c>
      <c r="D5" s="337">
        <v>0</v>
      </c>
      <c r="E5" s="338">
        <v>0</v>
      </c>
      <c r="F5" s="339">
        <v>1.4423076923076901</v>
      </c>
    </row>
    <row r="6" spans="1:10" ht="38.25" x14ac:dyDescent="0.2">
      <c r="A6" s="614" t="s">
        <v>577</v>
      </c>
      <c r="B6" s="17" t="s">
        <v>579</v>
      </c>
      <c r="C6" s="336">
        <v>1.2345679012345701</v>
      </c>
      <c r="D6" s="337">
        <v>10</v>
      </c>
      <c r="E6" s="338">
        <v>3.5714285714285698</v>
      </c>
      <c r="F6" s="339">
        <v>0.480769230769231</v>
      </c>
    </row>
    <row r="7" spans="1:10" ht="38.25" x14ac:dyDescent="0.2">
      <c r="A7" s="614" t="s">
        <v>577</v>
      </c>
      <c r="B7" s="17" t="s">
        <v>580</v>
      </c>
      <c r="C7" s="336">
        <v>2.4691358024691401</v>
      </c>
      <c r="D7" s="337">
        <v>10</v>
      </c>
      <c r="E7" s="338">
        <v>3.5714285714285698</v>
      </c>
      <c r="F7" s="339">
        <v>1.4423076923076901</v>
      </c>
    </row>
    <row r="8" spans="1:10" x14ac:dyDescent="0.2">
      <c r="A8" s="614" t="s">
        <v>581</v>
      </c>
      <c r="B8" s="17" t="s">
        <v>582</v>
      </c>
      <c r="C8" s="336">
        <v>17.592592592592599</v>
      </c>
      <c r="D8" s="337">
        <v>40</v>
      </c>
      <c r="E8" s="338">
        <v>14.285714285714301</v>
      </c>
      <c r="F8" s="339">
        <v>18.75</v>
      </c>
    </row>
    <row r="9" spans="1:10" ht="38.25" x14ac:dyDescent="0.2">
      <c r="A9" s="614" t="s">
        <v>581</v>
      </c>
      <c r="B9" s="17" t="s">
        <v>583</v>
      </c>
      <c r="C9" s="336">
        <v>8.3333333333333304</v>
      </c>
      <c r="D9" s="337">
        <v>10</v>
      </c>
      <c r="E9" s="338">
        <v>14.285714285714301</v>
      </c>
      <c r="F9" s="339">
        <v>11.538461538461499</v>
      </c>
    </row>
    <row r="10" spans="1:10" ht="38.25" x14ac:dyDescent="0.2">
      <c r="A10" s="614" t="s">
        <v>581</v>
      </c>
      <c r="B10" s="17" t="s">
        <v>584</v>
      </c>
      <c r="C10" s="336">
        <v>11.728395061728399</v>
      </c>
      <c r="D10" s="337">
        <v>30</v>
      </c>
      <c r="E10" s="338">
        <v>14.285714285714301</v>
      </c>
      <c r="F10" s="339">
        <v>5.7692307692307701</v>
      </c>
    </row>
    <row r="11" spans="1:10" x14ac:dyDescent="0.2">
      <c r="A11" s="608" t="s">
        <v>473</v>
      </c>
      <c r="B11" s="609"/>
      <c r="C11" s="609"/>
      <c r="D11" s="609"/>
      <c r="E11" s="609"/>
      <c r="F11" s="609"/>
    </row>
    <row r="12" spans="1:10" x14ac:dyDescent="0.2">
      <c r="A12" s="608" t="s">
        <v>474</v>
      </c>
      <c r="B12" s="609"/>
      <c r="C12" s="609"/>
      <c r="D12" s="609"/>
      <c r="E12" s="609"/>
      <c r="F12" s="609"/>
    </row>
    <row r="13" spans="1:10" ht="25.5" customHeight="1" x14ac:dyDescent="0.2">
      <c r="A13" s="608" t="s">
        <v>585</v>
      </c>
      <c r="B13" s="609"/>
      <c r="C13" s="609"/>
      <c r="D13" s="609"/>
      <c r="E13" s="609"/>
      <c r="F13" s="609"/>
    </row>
    <row r="14" spans="1:10" x14ac:dyDescent="0.2">
      <c r="A14" s="608" t="s">
        <v>45</v>
      </c>
      <c r="B14" s="609"/>
      <c r="C14" s="609"/>
      <c r="D14" s="609"/>
      <c r="E14" s="609"/>
      <c r="F14" s="609"/>
    </row>
    <row r="15" spans="1:10" ht="34.5" customHeight="1" x14ac:dyDescent="0.2">
      <c r="A15" s="608" t="s">
        <v>586</v>
      </c>
      <c r="B15" s="609"/>
      <c r="C15" s="609"/>
      <c r="D15" s="609"/>
      <c r="E15" s="609"/>
      <c r="F15" s="609"/>
    </row>
    <row r="16" spans="1:10" x14ac:dyDescent="0.2">
      <c r="A16" s="610" t="s">
        <v>430</v>
      </c>
      <c r="B16" s="609"/>
      <c r="C16" s="609"/>
      <c r="D16" s="609"/>
      <c r="E16" s="609"/>
      <c r="F16" s="609"/>
    </row>
  </sheetData>
  <mergeCells count="11">
    <mergeCell ref="H1:J2"/>
    <mergeCell ref="A1:F1"/>
    <mergeCell ref="A3:F3"/>
    <mergeCell ref="A11:F11"/>
    <mergeCell ref="A12:F12"/>
    <mergeCell ref="A13:F13"/>
    <mergeCell ref="A14:F14"/>
    <mergeCell ref="A15:F15"/>
    <mergeCell ref="A16:F16"/>
    <mergeCell ref="A5:A7"/>
    <mergeCell ref="A8:A10"/>
  </mergeCells>
  <pageMargins left="0.6" right="0.79" top="0.79" bottom="1.06" header="0.3" footer="0.3"/>
  <pageSetup paperSize="9" fitToWidth="0" fitToHeight="0" orientation="portrait" horizontalDpi="300" verticalDpi="30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workbookViewId="0">
      <selection activeCell="H1" sqref="H1:J2"/>
    </sheetView>
  </sheetViews>
  <sheetFormatPr baseColWidth="10" defaultColWidth="9.140625" defaultRowHeight="12.75" x14ac:dyDescent="0.2"/>
  <cols>
    <col min="1" max="1" width="14.7109375" customWidth="1"/>
    <col min="2" max="3" width="12.7109375" customWidth="1"/>
    <col min="4" max="6" width="15.7109375" customWidth="1"/>
  </cols>
  <sheetData>
    <row r="1" spans="1:10" ht="15" customHeight="1" x14ac:dyDescent="0.2">
      <c r="A1" s="612" t="s">
        <v>587</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ht="63.75" x14ac:dyDescent="0.2">
      <c r="A4" s="4" t="s">
        <v>95</v>
      </c>
      <c r="B4" s="4" t="s">
        <v>82</v>
      </c>
      <c r="C4" s="4" t="s">
        <v>588</v>
      </c>
      <c r="D4" s="4" t="s">
        <v>589</v>
      </c>
      <c r="E4" s="4" t="s">
        <v>590</v>
      </c>
      <c r="F4" s="4" t="s">
        <v>591</v>
      </c>
    </row>
    <row r="5" spans="1:10" ht="25.5" x14ac:dyDescent="0.2">
      <c r="A5" s="17" t="s">
        <v>466</v>
      </c>
      <c r="B5" s="340">
        <v>324</v>
      </c>
      <c r="C5" s="341">
        <v>6</v>
      </c>
      <c r="D5" s="342">
        <v>5</v>
      </c>
      <c r="E5" s="343">
        <v>0</v>
      </c>
      <c r="F5" s="344">
        <v>0</v>
      </c>
    </row>
    <row r="6" spans="1:10" ht="63.75" x14ac:dyDescent="0.2">
      <c r="A6" s="17" t="s">
        <v>467</v>
      </c>
      <c r="B6" s="340">
        <v>10</v>
      </c>
      <c r="C6" s="341">
        <v>1</v>
      </c>
      <c r="D6" s="342">
        <v>0</v>
      </c>
      <c r="E6" s="343">
        <v>0</v>
      </c>
      <c r="F6" s="344">
        <v>0</v>
      </c>
    </row>
    <row r="7" spans="1:10" ht="25.5" x14ac:dyDescent="0.2">
      <c r="A7" s="17" t="s">
        <v>71</v>
      </c>
      <c r="B7" s="340">
        <v>208</v>
      </c>
      <c r="C7" s="341">
        <v>2</v>
      </c>
      <c r="D7" s="342">
        <v>7</v>
      </c>
      <c r="E7" s="343">
        <v>0</v>
      </c>
      <c r="F7" s="344">
        <v>0</v>
      </c>
    </row>
    <row r="8" spans="1:10" ht="25.5" x14ac:dyDescent="0.2">
      <c r="A8" s="17" t="s">
        <v>72</v>
      </c>
      <c r="B8" s="340">
        <v>28</v>
      </c>
      <c r="C8" s="341">
        <v>0</v>
      </c>
      <c r="D8" s="342">
        <v>0</v>
      </c>
      <c r="E8" s="343">
        <v>2</v>
      </c>
      <c r="F8" s="344">
        <v>3</v>
      </c>
    </row>
    <row r="9" spans="1:10" x14ac:dyDescent="0.2">
      <c r="A9" s="608" t="s">
        <v>473</v>
      </c>
      <c r="B9" s="609"/>
      <c r="C9" s="609"/>
      <c r="D9" s="609"/>
      <c r="E9" s="609"/>
      <c r="F9" s="609"/>
    </row>
    <row r="10" spans="1:10" x14ac:dyDescent="0.2">
      <c r="A10" s="608" t="s">
        <v>474</v>
      </c>
      <c r="B10" s="609"/>
      <c r="C10" s="609"/>
      <c r="D10" s="609"/>
      <c r="E10" s="609"/>
      <c r="F10" s="609"/>
    </row>
    <row r="11" spans="1:10" x14ac:dyDescent="0.2">
      <c r="A11" s="610" t="s">
        <v>430</v>
      </c>
      <c r="B11" s="609"/>
      <c r="C11" s="609"/>
      <c r="D11" s="609"/>
      <c r="E11" s="609"/>
      <c r="F11" s="609"/>
    </row>
  </sheetData>
  <mergeCells count="6">
    <mergeCell ref="A11:F11"/>
    <mergeCell ref="H1:J2"/>
    <mergeCell ref="A1:F1"/>
    <mergeCell ref="A3:F3"/>
    <mergeCell ref="A9:F9"/>
    <mergeCell ref="A10:F10"/>
  </mergeCells>
  <pageMargins left="0.6" right="0.79" top="0.79" bottom="1.06" header="0.3" footer="0.3"/>
  <pageSetup paperSize="9" fitToWidth="0" fitToHeight="0" orientation="portrait" horizontalDpi="300" verticalDpi="30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activeCell="E1" sqref="E1:G2"/>
    </sheetView>
  </sheetViews>
  <sheetFormatPr baseColWidth="10" defaultColWidth="9.140625" defaultRowHeight="12.75" x14ac:dyDescent="0.2"/>
  <cols>
    <col min="1" max="1" width="43.7109375" customWidth="1"/>
    <col min="2" max="3" width="20.7109375" customWidth="1"/>
  </cols>
  <sheetData>
    <row r="1" spans="1:7" ht="15" customHeight="1" x14ac:dyDescent="0.2">
      <c r="A1" s="612" t="s">
        <v>592</v>
      </c>
      <c r="B1" s="609"/>
      <c r="C1" s="609"/>
      <c r="E1" s="611" t="str">
        <f>HYPERLINK("#'sommaire'!A1", "Retour sommaire")</f>
        <v>Retour sommaire</v>
      </c>
      <c r="F1" s="609"/>
      <c r="G1" s="609"/>
    </row>
    <row r="2" spans="1:7" x14ac:dyDescent="0.2">
      <c r="E2" s="609"/>
      <c r="F2" s="609"/>
      <c r="G2" s="609"/>
    </row>
    <row r="3" spans="1:7" x14ac:dyDescent="0.2">
      <c r="A3" s="619" t="s">
        <v>593</v>
      </c>
      <c r="B3" s="609"/>
      <c r="C3" s="609"/>
    </row>
    <row r="4" spans="1:7" ht="25.5" x14ac:dyDescent="0.2">
      <c r="A4" s="4" t="s">
        <v>594</v>
      </c>
      <c r="B4" s="4" t="s">
        <v>70</v>
      </c>
      <c r="C4" s="4" t="s">
        <v>72</v>
      </c>
    </row>
    <row r="5" spans="1:7" x14ac:dyDescent="0.2">
      <c r="A5" s="17" t="s">
        <v>595</v>
      </c>
      <c r="B5" s="346">
        <v>203</v>
      </c>
      <c r="C5" s="348">
        <v>8</v>
      </c>
    </row>
    <row r="6" spans="1:7" x14ac:dyDescent="0.2">
      <c r="A6" s="17" t="s">
        <v>596</v>
      </c>
      <c r="B6" s="346">
        <v>8</v>
      </c>
      <c r="C6" s="348">
        <v>7</v>
      </c>
    </row>
    <row r="7" spans="1:7" x14ac:dyDescent="0.2">
      <c r="A7" s="17" t="s">
        <v>597</v>
      </c>
      <c r="B7" s="346">
        <v>3</v>
      </c>
      <c r="C7" s="348"/>
    </row>
    <row r="8" spans="1:7" x14ac:dyDescent="0.2">
      <c r="A8" s="17" t="s">
        <v>598</v>
      </c>
      <c r="B8" s="346">
        <v>1</v>
      </c>
      <c r="C8" s="348">
        <v>1</v>
      </c>
    </row>
    <row r="9" spans="1:7" x14ac:dyDescent="0.2">
      <c r="A9" s="17" t="s">
        <v>599</v>
      </c>
      <c r="B9" s="346">
        <v>8</v>
      </c>
      <c r="C9" s="348">
        <v>7</v>
      </c>
    </row>
    <row r="10" spans="1:7" x14ac:dyDescent="0.2">
      <c r="A10" s="17" t="s">
        <v>600</v>
      </c>
      <c r="B10" s="346">
        <v>23</v>
      </c>
      <c r="C10" s="348">
        <v>7</v>
      </c>
    </row>
    <row r="11" spans="1:7" x14ac:dyDescent="0.2">
      <c r="A11" s="17" t="s">
        <v>601</v>
      </c>
      <c r="B11" s="346">
        <v>2</v>
      </c>
      <c r="C11" s="348">
        <v>3</v>
      </c>
    </row>
    <row r="12" spans="1:7" x14ac:dyDescent="0.2">
      <c r="A12" s="17" t="s">
        <v>602</v>
      </c>
      <c r="B12" s="346">
        <v>22</v>
      </c>
      <c r="C12" s="348">
        <v>1</v>
      </c>
    </row>
    <row r="13" spans="1:7" x14ac:dyDescent="0.2">
      <c r="A13" s="17" t="s">
        <v>603</v>
      </c>
      <c r="B13" s="346">
        <v>130</v>
      </c>
      <c r="C13" s="348">
        <v>16</v>
      </c>
    </row>
    <row r="14" spans="1:7" x14ac:dyDescent="0.2">
      <c r="A14" s="6" t="s">
        <v>604</v>
      </c>
      <c r="B14" s="345">
        <v>386</v>
      </c>
      <c r="C14" s="347">
        <v>28</v>
      </c>
    </row>
    <row r="15" spans="1:7" x14ac:dyDescent="0.2">
      <c r="A15" s="608" t="s">
        <v>473</v>
      </c>
      <c r="B15" s="609"/>
      <c r="C15" s="609"/>
    </row>
    <row r="16" spans="1:7" ht="27.75" customHeight="1" x14ac:dyDescent="0.2">
      <c r="A16" s="608" t="s">
        <v>474</v>
      </c>
      <c r="B16" s="609"/>
      <c r="C16" s="609"/>
    </row>
    <row r="17" spans="1:3" ht="22.5" customHeight="1" x14ac:dyDescent="0.2">
      <c r="A17" s="608" t="s">
        <v>605</v>
      </c>
      <c r="B17" s="609"/>
      <c r="C17" s="609"/>
    </row>
    <row r="18" spans="1:3" x14ac:dyDescent="0.2">
      <c r="A18" s="608" t="s">
        <v>45</v>
      </c>
      <c r="B18" s="609"/>
      <c r="C18" s="609"/>
    </row>
    <row r="19" spans="1:3" ht="30.75" customHeight="1" x14ac:dyDescent="0.2">
      <c r="A19" s="608" t="s">
        <v>606</v>
      </c>
      <c r="B19" s="609"/>
      <c r="C19" s="609"/>
    </row>
    <row r="20" spans="1:3" x14ac:dyDescent="0.2">
      <c r="A20" s="610" t="s">
        <v>430</v>
      </c>
      <c r="B20" s="609"/>
      <c r="C20" s="609"/>
    </row>
  </sheetData>
  <mergeCells count="9">
    <mergeCell ref="A17:C17"/>
    <mergeCell ref="A18:C18"/>
    <mergeCell ref="A19:C19"/>
    <mergeCell ref="A20:C20"/>
    <mergeCell ref="E1:G2"/>
    <mergeCell ref="A1:C1"/>
    <mergeCell ref="A3:C3"/>
    <mergeCell ref="A15:C15"/>
    <mergeCell ref="A16:C16"/>
  </mergeCells>
  <pageMargins left="0.6" right="0.79" top="0.79" bottom="1.06" header="0.3" footer="0.3"/>
  <pageSetup paperSize="9" fitToWidth="0" fitToHeight="0" orientation="portrait" horizontalDpi="300" verticalDpi="30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G28" sqref="G28"/>
    </sheetView>
  </sheetViews>
  <sheetFormatPr baseColWidth="10" defaultColWidth="9.140625" defaultRowHeight="12.75" x14ac:dyDescent="0.2"/>
  <cols>
    <col min="1" max="1" width="34.7109375" customWidth="1"/>
    <col min="2" max="2" width="8.7109375" style="572" customWidth="1"/>
    <col min="3" max="4" width="20.7109375" customWidth="1"/>
  </cols>
  <sheetData>
    <row r="1" spans="1:8" ht="15" customHeight="1" x14ac:dyDescent="0.2">
      <c r="A1" s="612" t="s">
        <v>607</v>
      </c>
      <c r="B1" s="612"/>
      <c r="C1" s="609"/>
      <c r="D1" s="609"/>
      <c r="F1" s="611" t="str">
        <f>HYPERLINK("#'sommaire'!A1", "Retour sommaire")</f>
        <v>Retour sommaire</v>
      </c>
      <c r="G1" s="609"/>
      <c r="H1" s="609"/>
    </row>
    <row r="2" spans="1:8" x14ac:dyDescent="0.2">
      <c r="F2" s="609"/>
      <c r="G2" s="609"/>
      <c r="H2" s="609"/>
    </row>
    <row r="3" spans="1:8" x14ac:dyDescent="0.2">
      <c r="A3" s="619" t="s">
        <v>593</v>
      </c>
      <c r="B3" s="619"/>
      <c r="C3" s="609"/>
      <c r="D3" s="609"/>
    </row>
    <row r="4" spans="1:8" ht="25.5" customHeight="1" x14ac:dyDescent="0.2">
      <c r="A4" s="654" t="s">
        <v>594</v>
      </c>
      <c r="B4" s="640" t="s">
        <v>70</v>
      </c>
      <c r="C4" s="642"/>
      <c r="D4" s="654" t="s">
        <v>72</v>
      </c>
    </row>
    <row r="5" spans="1:8" s="572" customFormat="1" x14ac:dyDescent="0.2">
      <c r="A5" s="656"/>
      <c r="B5" s="583" t="s">
        <v>958</v>
      </c>
      <c r="C5" s="4" t="s">
        <v>959</v>
      </c>
      <c r="D5" s="656"/>
    </row>
    <row r="6" spans="1:8" x14ac:dyDescent="0.2">
      <c r="A6" s="17" t="s">
        <v>608</v>
      </c>
      <c r="B6" s="584">
        <v>156</v>
      </c>
      <c r="C6" s="350">
        <v>135</v>
      </c>
      <c r="D6" s="352">
        <v>7</v>
      </c>
    </row>
    <row r="7" spans="1:8" x14ac:dyDescent="0.2">
      <c r="A7" s="17" t="s">
        <v>609</v>
      </c>
      <c r="B7" s="661">
        <v>45</v>
      </c>
      <c r="C7" s="350">
        <v>49</v>
      </c>
      <c r="D7" s="352">
        <v>6</v>
      </c>
    </row>
    <row r="8" spans="1:8" x14ac:dyDescent="0.2">
      <c r="A8" s="17" t="s">
        <v>597</v>
      </c>
      <c r="B8" s="662"/>
      <c r="C8" s="350">
        <v>17</v>
      </c>
      <c r="D8" s="352">
        <v>3</v>
      </c>
    </row>
    <row r="9" spans="1:8" x14ac:dyDescent="0.2">
      <c r="A9" s="17" t="s">
        <v>610</v>
      </c>
      <c r="B9" s="584">
        <v>23</v>
      </c>
      <c r="C9" s="350">
        <v>21</v>
      </c>
      <c r="D9" s="352">
        <v>5</v>
      </c>
    </row>
    <row r="10" spans="1:8" x14ac:dyDescent="0.2">
      <c r="A10" s="17" t="s">
        <v>602</v>
      </c>
      <c r="B10" s="584">
        <v>10</v>
      </c>
      <c r="C10" s="350">
        <v>10</v>
      </c>
      <c r="D10" s="352"/>
    </row>
    <row r="11" spans="1:8" x14ac:dyDescent="0.2">
      <c r="A11" s="17" t="s">
        <v>603</v>
      </c>
      <c r="B11" s="584" t="s">
        <v>60</v>
      </c>
      <c r="C11" s="350">
        <v>187</v>
      </c>
      <c r="D11" s="352">
        <v>17</v>
      </c>
    </row>
    <row r="12" spans="1:8" x14ac:dyDescent="0.2">
      <c r="A12" s="6" t="s">
        <v>604</v>
      </c>
      <c r="B12" s="585">
        <v>581</v>
      </c>
      <c r="C12" s="349">
        <v>386</v>
      </c>
      <c r="D12" s="351">
        <v>28</v>
      </c>
    </row>
    <row r="13" spans="1:8" s="572" customFormat="1" x14ac:dyDescent="0.2"/>
    <row r="14" spans="1:8" s="572" customFormat="1" x14ac:dyDescent="0.2">
      <c r="A14" s="663" t="s">
        <v>961</v>
      </c>
      <c r="B14" s="619"/>
      <c r="C14" s="609"/>
      <c r="D14" s="609"/>
    </row>
    <row r="15" spans="1:8" s="572" customFormat="1" ht="27.75" customHeight="1" x14ac:dyDescent="0.2">
      <c r="A15" s="654" t="s">
        <v>594</v>
      </c>
      <c r="B15" s="640" t="s">
        <v>70</v>
      </c>
      <c r="C15" s="642"/>
      <c r="D15" s="654" t="s">
        <v>72</v>
      </c>
    </row>
    <row r="16" spans="1:8" s="572" customFormat="1" x14ac:dyDescent="0.2">
      <c r="A16" s="656"/>
      <c r="B16" s="583" t="s">
        <v>958</v>
      </c>
      <c r="C16" s="4" t="s">
        <v>959</v>
      </c>
      <c r="D16" s="656"/>
    </row>
    <row r="17" spans="1:4" s="572" customFormat="1" x14ac:dyDescent="0.2">
      <c r="A17" s="573" t="s">
        <v>608</v>
      </c>
      <c r="B17" s="584">
        <f>B6/$B$12*100</f>
        <v>26.850258175559382</v>
      </c>
      <c r="C17" s="586">
        <f>100*C6/$C$12</f>
        <v>34.974093264248708</v>
      </c>
      <c r="D17" s="586">
        <f>100*D6/$D$12</f>
        <v>25</v>
      </c>
    </row>
    <row r="18" spans="1:4" s="572" customFormat="1" x14ac:dyDescent="0.2">
      <c r="A18" s="573" t="s">
        <v>609</v>
      </c>
      <c r="B18" s="661">
        <f t="shared" ref="B18:B21" si="0">B7/$B$12*100</f>
        <v>7.7452667814113596</v>
      </c>
      <c r="C18" s="586">
        <f t="shared" ref="C18:C22" si="1">100*C7/$C$12</f>
        <v>12.694300518134716</v>
      </c>
      <c r="D18" s="586">
        <f t="shared" ref="D18:D22" si="2">100*D7/$D$12</f>
        <v>21.428571428571427</v>
      </c>
    </row>
    <row r="19" spans="1:4" s="572" customFormat="1" x14ac:dyDescent="0.2">
      <c r="A19" s="573" t="s">
        <v>597</v>
      </c>
      <c r="B19" s="662"/>
      <c r="C19" s="586">
        <f t="shared" si="1"/>
        <v>4.4041450777202069</v>
      </c>
      <c r="D19" s="586">
        <f t="shared" si="2"/>
        <v>10.714285714285714</v>
      </c>
    </row>
    <row r="20" spans="1:4" s="572" customFormat="1" x14ac:dyDescent="0.2">
      <c r="A20" s="573" t="s">
        <v>610</v>
      </c>
      <c r="B20" s="584">
        <f t="shared" si="0"/>
        <v>3.9586919104991396</v>
      </c>
      <c r="C20" s="586">
        <f t="shared" si="1"/>
        <v>5.4404145077720205</v>
      </c>
      <c r="D20" s="586">
        <f t="shared" si="2"/>
        <v>17.857142857142858</v>
      </c>
    </row>
    <row r="21" spans="1:4" s="572" customFormat="1" x14ac:dyDescent="0.2">
      <c r="A21" s="573" t="s">
        <v>602</v>
      </c>
      <c r="B21" s="584">
        <f t="shared" si="0"/>
        <v>1.7211703958691909</v>
      </c>
      <c r="C21" s="586">
        <f t="shared" si="1"/>
        <v>2.5906735751295336</v>
      </c>
      <c r="D21" s="586">
        <f t="shared" si="2"/>
        <v>0</v>
      </c>
    </row>
    <row r="22" spans="1:4" s="572" customFormat="1" x14ac:dyDescent="0.2">
      <c r="A22" s="573" t="s">
        <v>603</v>
      </c>
      <c r="B22" s="584" t="s">
        <v>60</v>
      </c>
      <c r="C22" s="586">
        <f t="shared" si="1"/>
        <v>48.445595854922281</v>
      </c>
      <c r="D22" s="586">
        <f t="shared" si="2"/>
        <v>60.714285714285715</v>
      </c>
    </row>
    <row r="23" spans="1:4" s="572" customFormat="1" x14ac:dyDescent="0.2"/>
    <row r="24" spans="1:4" ht="21.75" customHeight="1" x14ac:dyDescent="0.2">
      <c r="A24" s="608" t="s">
        <v>473</v>
      </c>
      <c r="B24" s="608"/>
      <c r="C24" s="609"/>
      <c r="D24" s="609"/>
    </row>
    <row r="25" spans="1:4" ht="28.5" customHeight="1" x14ac:dyDescent="0.2">
      <c r="A25" s="608" t="s">
        <v>474</v>
      </c>
      <c r="B25" s="608"/>
      <c r="C25" s="609"/>
      <c r="D25" s="609"/>
    </row>
    <row r="26" spans="1:4" x14ac:dyDescent="0.2">
      <c r="A26" s="608" t="s">
        <v>611</v>
      </c>
      <c r="B26" s="608"/>
      <c r="C26" s="609"/>
      <c r="D26" s="609"/>
    </row>
    <row r="27" spans="1:4" x14ac:dyDescent="0.2">
      <c r="A27" s="608" t="s">
        <v>45</v>
      </c>
      <c r="B27" s="608"/>
      <c r="C27" s="609"/>
      <c r="D27" s="609"/>
    </row>
    <row r="28" spans="1:4" ht="34.5" customHeight="1" x14ac:dyDescent="0.2">
      <c r="A28" s="608" t="s">
        <v>612</v>
      </c>
      <c r="B28" s="608"/>
      <c r="C28" s="609"/>
      <c r="D28" s="609"/>
    </row>
    <row r="29" spans="1:4" x14ac:dyDescent="0.2">
      <c r="A29" s="660" t="s">
        <v>960</v>
      </c>
      <c r="B29" s="610"/>
      <c r="C29" s="609"/>
      <c r="D29" s="609"/>
    </row>
  </sheetData>
  <mergeCells count="18">
    <mergeCell ref="A29:D29"/>
    <mergeCell ref="F1:H2"/>
    <mergeCell ref="A1:D1"/>
    <mergeCell ref="A3:D3"/>
    <mergeCell ref="A24:D24"/>
    <mergeCell ref="A25:D25"/>
    <mergeCell ref="B7:B8"/>
    <mergeCell ref="B4:C4"/>
    <mergeCell ref="A14:D14"/>
    <mergeCell ref="B15:C15"/>
    <mergeCell ref="B18:B19"/>
    <mergeCell ref="A4:A5"/>
    <mergeCell ref="D4:D5"/>
    <mergeCell ref="A15:A16"/>
    <mergeCell ref="D15:D16"/>
    <mergeCell ref="A26:D26"/>
    <mergeCell ref="A27:D27"/>
    <mergeCell ref="A28:D28"/>
  </mergeCells>
  <pageMargins left="0.6" right="0.79" top="0.79" bottom="1.06" header="0.3" footer="0.3"/>
  <pageSetup paperSize="9" fitToWidth="0" fitToHeight="0"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sqref="A1:C1"/>
    </sheetView>
  </sheetViews>
  <sheetFormatPr baseColWidth="10" defaultColWidth="9.140625" defaultRowHeight="12.75" x14ac:dyDescent="0.2"/>
  <cols>
    <col min="1" max="1" width="43.7109375" customWidth="1"/>
    <col min="2" max="3" width="20.7109375" customWidth="1"/>
  </cols>
  <sheetData>
    <row r="1" spans="1:7" ht="15" customHeight="1" x14ac:dyDescent="0.2">
      <c r="A1" s="612" t="s">
        <v>613</v>
      </c>
      <c r="B1" s="609"/>
      <c r="C1" s="609"/>
      <c r="E1" s="611" t="str">
        <f>HYPERLINK("#'sommaire'!A1", "Retour sommaire")</f>
        <v>Retour sommaire</v>
      </c>
      <c r="F1" s="609"/>
      <c r="G1" s="609"/>
    </row>
    <row r="2" spans="1:7" x14ac:dyDescent="0.2">
      <c r="E2" s="609"/>
      <c r="F2" s="609"/>
      <c r="G2" s="609"/>
    </row>
    <row r="3" spans="1:7" x14ac:dyDescent="0.2">
      <c r="A3" s="619" t="s">
        <v>593</v>
      </c>
      <c r="B3" s="609"/>
      <c r="C3" s="609"/>
    </row>
    <row r="4" spans="1:7" ht="25.5" x14ac:dyDescent="0.2">
      <c r="A4" s="4" t="s">
        <v>594</v>
      </c>
      <c r="B4" s="4" t="s">
        <v>70</v>
      </c>
      <c r="C4" s="4" t="s">
        <v>72</v>
      </c>
    </row>
    <row r="5" spans="1:7" x14ac:dyDescent="0.2">
      <c r="A5" s="17" t="s">
        <v>614</v>
      </c>
      <c r="B5" s="353">
        <v>27</v>
      </c>
      <c r="C5" s="354"/>
    </row>
    <row r="6" spans="1:7" x14ac:dyDescent="0.2">
      <c r="A6" s="17" t="s">
        <v>615</v>
      </c>
      <c r="B6" s="353">
        <v>91</v>
      </c>
      <c r="C6" s="354">
        <v>3</v>
      </c>
    </row>
    <row r="7" spans="1:7" x14ac:dyDescent="0.2">
      <c r="A7" s="17" t="s">
        <v>616</v>
      </c>
      <c r="B7" s="353">
        <v>16</v>
      </c>
      <c r="C7" s="354">
        <v>1</v>
      </c>
    </row>
    <row r="8" spans="1:7" x14ac:dyDescent="0.2">
      <c r="A8" s="610" t="s">
        <v>430</v>
      </c>
      <c r="B8" s="609"/>
      <c r="C8" s="609"/>
    </row>
  </sheetData>
  <mergeCells count="4">
    <mergeCell ref="E1:G2"/>
    <mergeCell ref="A1:C1"/>
    <mergeCell ref="A3:C3"/>
    <mergeCell ref="A8:C8"/>
  </mergeCells>
  <pageMargins left="0.6" right="0.79" top="0.79" bottom="1.06" header="0.3" footer="0.3"/>
  <pageSetup paperSize="9" fitToWidth="0" fitToHeight="0" orientation="portrait" horizontalDpi="300" verticalDpi="30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sqref="A1:D1"/>
    </sheetView>
  </sheetViews>
  <sheetFormatPr baseColWidth="10" defaultColWidth="9.140625" defaultRowHeight="12.75" x14ac:dyDescent="0.2"/>
  <cols>
    <col min="1" max="1" width="38.7109375" customWidth="1"/>
    <col min="2" max="4" width="15.7109375" customWidth="1"/>
  </cols>
  <sheetData>
    <row r="1" spans="1:8" ht="15" customHeight="1" x14ac:dyDescent="0.2">
      <c r="A1" s="612" t="s">
        <v>617</v>
      </c>
      <c r="B1" s="609"/>
      <c r="C1" s="609"/>
      <c r="D1" s="609"/>
      <c r="F1" s="611" t="str">
        <f>HYPERLINK("#'sommaire'!A1", "Retour sommaire")</f>
        <v>Retour sommaire</v>
      </c>
      <c r="G1" s="609"/>
      <c r="H1" s="609"/>
    </row>
    <row r="2" spans="1:8" x14ac:dyDescent="0.2">
      <c r="F2" s="609"/>
      <c r="G2" s="609"/>
      <c r="H2" s="609"/>
    </row>
    <row r="3" spans="1:8" x14ac:dyDescent="0.2">
      <c r="A3" s="619" t="s">
        <v>593</v>
      </c>
      <c r="B3" s="609"/>
      <c r="C3" s="609"/>
      <c r="D3" s="609"/>
    </row>
    <row r="4" spans="1:8" ht="63.75" x14ac:dyDescent="0.2">
      <c r="A4" s="4" t="s">
        <v>617</v>
      </c>
      <c r="B4" s="4" t="s">
        <v>467</v>
      </c>
      <c r="C4" s="4" t="s">
        <v>466</v>
      </c>
      <c r="D4" s="4" t="s">
        <v>72</v>
      </c>
    </row>
    <row r="5" spans="1:8" ht="25.5" x14ac:dyDescent="0.2">
      <c r="A5" s="17" t="s">
        <v>618</v>
      </c>
      <c r="B5" s="356">
        <v>2</v>
      </c>
      <c r="C5" s="358">
        <v>10</v>
      </c>
      <c r="D5" s="360">
        <v>5</v>
      </c>
    </row>
    <row r="6" spans="1:8" ht="25.5" x14ac:dyDescent="0.2">
      <c r="A6" s="17" t="s">
        <v>619</v>
      </c>
      <c r="B6" s="356">
        <v>3</v>
      </c>
      <c r="C6" s="358">
        <v>22</v>
      </c>
      <c r="D6" s="360">
        <v>5</v>
      </c>
    </row>
    <row r="7" spans="1:8" x14ac:dyDescent="0.2">
      <c r="A7" s="17" t="s">
        <v>620</v>
      </c>
      <c r="B7" s="356">
        <v>16</v>
      </c>
      <c r="C7" s="358">
        <v>310</v>
      </c>
      <c r="D7" s="360">
        <v>17</v>
      </c>
    </row>
    <row r="8" spans="1:8" x14ac:dyDescent="0.2">
      <c r="A8" s="17" t="s">
        <v>571</v>
      </c>
      <c r="B8" s="356">
        <v>0</v>
      </c>
      <c r="C8" s="358">
        <v>23</v>
      </c>
      <c r="D8" s="360">
        <v>1</v>
      </c>
    </row>
    <row r="9" spans="1:8" x14ac:dyDescent="0.2">
      <c r="A9" s="6" t="s">
        <v>604</v>
      </c>
      <c r="B9" s="355">
        <v>21</v>
      </c>
      <c r="C9" s="357">
        <v>365</v>
      </c>
      <c r="D9" s="359">
        <v>28</v>
      </c>
    </row>
    <row r="10" spans="1:8" x14ac:dyDescent="0.2">
      <c r="A10" s="608" t="s">
        <v>473</v>
      </c>
      <c r="B10" s="609"/>
      <c r="C10" s="609"/>
      <c r="D10" s="609"/>
    </row>
    <row r="11" spans="1:8" x14ac:dyDescent="0.2">
      <c r="A11" s="608" t="s">
        <v>474</v>
      </c>
      <c r="B11" s="609"/>
      <c r="C11" s="609"/>
      <c r="D11" s="609"/>
    </row>
    <row r="12" spans="1:8" x14ac:dyDescent="0.2">
      <c r="A12" s="608" t="s">
        <v>45</v>
      </c>
      <c r="B12" s="609"/>
      <c r="C12" s="609"/>
      <c r="D12" s="609"/>
    </row>
    <row r="13" spans="1:8" ht="27" customHeight="1" x14ac:dyDescent="0.2">
      <c r="A13" s="608" t="s">
        <v>621</v>
      </c>
      <c r="B13" s="609"/>
      <c r="C13" s="609"/>
      <c r="D13" s="609"/>
    </row>
    <row r="14" spans="1:8" x14ac:dyDescent="0.2">
      <c r="A14" s="610" t="s">
        <v>430</v>
      </c>
      <c r="B14" s="609"/>
      <c r="C14" s="609"/>
      <c r="D14" s="609"/>
    </row>
  </sheetData>
  <mergeCells count="8">
    <mergeCell ref="A12:D12"/>
    <mergeCell ref="A13:D13"/>
    <mergeCell ref="A14:D14"/>
    <mergeCell ref="F1:H2"/>
    <mergeCell ref="A1:D1"/>
    <mergeCell ref="A3:D3"/>
    <mergeCell ref="A10:D10"/>
    <mergeCell ref="A11:D11"/>
  </mergeCells>
  <pageMargins left="0.6" right="0.79" top="0.79" bottom="1.06" header="0.3" footer="0.3"/>
  <pageSetup paperSize="9" fitToWidth="0" fitToHeight="0" orientation="portrait" horizontalDpi="300" verticalDpi="30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A15" sqref="A15:A16"/>
    </sheetView>
  </sheetViews>
  <sheetFormatPr baseColWidth="10" defaultColWidth="9.140625" defaultRowHeight="12.75" x14ac:dyDescent="0.2"/>
  <cols>
    <col min="1" max="1" width="15.7109375" customWidth="1"/>
    <col min="2" max="3" width="10.7109375" style="572" customWidth="1"/>
    <col min="4" max="4" width="10.7109375" customWidth="1"/>
    <col min="5" max="5" width="15.7109375" customWidth="1"/>
    <col min="6" max="6" width="11.7109375" customWidth="1"/>
    <col min="7" max="7" width="12.7109375" customWidth="1"/>
  </cols>
  <sheetData>
    <row r="1" spans="1:11" ht="15" customHeight="1" x14ac:dyDescent="0.2">
      <c r="A1" s="612" t="s">
        <v>622</v>
      </c>
      <c r="B1" s="612"/>
      <c r="C1" s="612"/>
      <c r="D1" s="609"/>
      <c r="E1" s="609"/>
      <c r="F1" s="609"/>
      <c r="G1" s="609"/>
      <c r="I1" s="611" t="str">
        <f>HYPERLINK("#'sommaire'!A1", "Retour sommaire")</f>
        <v>Retour sommaire</v>
      </c>
      <c r="J1" s="609"/>
      <c r="K1" s="609"/>
    </row>
    <row r="2" spans="1:11" x14ac:dyDescent="0.2">
      <c r="I2" s="609"/>
      <c r="J2" s="609"/>
      <c r="K2" s="609"/>
    </row>
    <row r="3" spans="1:11" x14ac:dyDescent="0.2">
      <c r="A3" s="619" t="s">
        <v>593</v>
      </c>
      <c r="B3" s="619"/>
      <c r="C3" s="619"/>
      <c r="D3" s="609"/>
      <c r="E3" s="609"/>
      <c r="F3" s="609"/>
      <c r="G3" s="609"/>
    </row>
    <row r="4" spans="1:11" ht="63.75" customHeight="1" x14ac:dyDescent="0.2">
      <c r="A4" s="654" t="s">
        <v>617</v>
      </c>
      <c r="B4" s="640" t="s">
        <v>466</v>
      </c>
      <c r="C4" s="641"/>
      <c r="D4" s="642"/>
      <c r="E4" s="654" t="s">
        <v>467</v>
      </c>
      <c r="F4" s="654" t="s">
        <v>71</v>
      </c>
      <c r="G4" s="654" t="s">
        <v>72</v>
      </c>
    </row>
    <row r="5" spans="1:11" s="572" customFormat="1" x14ac:dyDescent="0.2">
      <c r="A5" s="656"/>
      <c r="B5" s="583">
        <v>1997</v>
      </c>
      <c r="C5" s="583">
        <v>2007</v>
      </c>
      <c r="D5" s="4">
        <v>2018</v>
      </c>
      <c r="E5" s="656"/>
      <c r="F5" s="656"/>
      <c r="G5" s="656"/>
    </row>
    <row r="6" spans="1:11" x14ac:dyDescent="0.2">
      <c r="A6" s="17" t="s">
        <v>623</v>
      </c>
      <c r="B6" s="584">
        <v>118</v>
      </c>
      <c r="C6" s="584">
        <v>101</v>
      </c>
      <c r="D6" s="362">
        <v>77</v>
      </c>
      <c r="E6" s="364">
        <v>2</v>
      </c>
      <c r="F6" s="366">
        <v>51</v>
      </c>
      <c r="G6" s="368">
        <v>1</v>
      </c>
    </row>
    <row r="7" spans="1:11" x14ac:dyDescent="0.2">
      <c r="A7" s="17" t="s">
        <v>624</v>
      </c>
      <c r="B7" s="584">
        <v>236</v>
      </c>
      <c r="C7" s="584">
        <v>258</v>
      </c>
      <c r="D7" s="362">
        <v>209</v>
      </c>
      <c r="E7" s="364">
        <v>12</v>
      </c>
      <c r="F7" s="366">
        <v>61</v>
      </c>
      <c r="G7" s="368">
        <v>19</v>
      </c>
    </row>
    <row r="8" spans="1:11" x14ac:dyDescent="0.2">
      <c r="A8" s="17" t="s">
        <v>625</v>
      </c>
      <c r="B8" s="584">
        <v>0</v>
      </c>
      <c r="C8" s="584">
        <v>22</v>
      </c>
      <c r="D8" s="362">
        <v>11</v>
      </c>
      <c r="E8" s="364">
        <v>2</v>
      </c>
      <c r="F8" s="366">
        <v>62</v>
      </c>
      <c r="G8" s="368">
        <v>0</v>
      </c>
    </row>
    <row r="9" spans="1:11" x14ac:dyDescent="0.2">
      <c r="A9" s="17" t="s">
        <v>626</v>
      </c>
      <c r="B9" s="584">
        <v>0</v>
      </c>
      <c r="C9" s="584">
        <v>0</v>
      </c>
      <c r="D9" s="362">
        <v>4</v>
      </c>
      <c r="E9" s="364">
        <v>0</v>
      </c>
      <c r="F9" s="366">
        <v>67</v>
      </c>
      <c r="G9" s="368"/>
    </row>
    <row r="10" spans="1:11" x14ac:dyDescent="0.2">
      <c r="A10" s="17" t="s">
        <v>562</v>
      </c>
      <c r="B10" s="584">
        <v>121</v>
      </c>
      <c r="C10" s="584">
        <v>75</v>
      </c>
      <c r="D10" s="362">
        <v>32</v>
      </c>
      <c r="E10" s="364">
        <v>0</v>
      </c>
      <c r="F10" s="366">
        <v>19</v>
      </c>
      <c r="G10" s="368">
        <v>3</v>
      </c>
    </row>
    <row r="11" spans="1:11" x14ac:dyDescent="0.2">
      <c r="A11" s="17" t="s">
        <v>627</v>
      </c>
      <c r="B11" s="584">
        <v>343</v>
      </c>
      <c r="C11" s="584">
        <v>232</v>
      </c>
      <c r="D11" s="362">
        <v>74</v>
      </c>
      <c r="E11" s="364">
        <v>9</v>
      </c>
      <c r="F11" s="366">
        <v>28</v>
      </c>
      <c r="G11" s="368">
        <v>4</v>
      </c>
    </row>
    <row r="12" spans="1:11" ht="25.5" x14ac:dyDescent="0.2">
      <c r="A12" s="6" t="s">
        <v>628</v>
      </c>
      <c r="B12" s="585">
        <v>814</v>
      </c>
      <c r="C12" s="585">
        <v>581</v>
      </c>
      <c r="D12" s="361">
        <v>365</v>
      </c>
      <c r="E12" s="363">
        <v>21</v>
      </c>
      <c r="F12" s="365">
        <v>211</v>
      </c>
      <c r="G12" s="367">
        <v>28</v>
      </c>
    </row>
    <row r="13" spans="1:11" s="572" customFormat="1" x14ac:dyDescent="0.2"/>
    <row r="14" spans="1:11" x14ac:dyDescent="0.2">
      <c r="A14" s="663" t="s">
        <v>961</v>
      </c>
      <c r="B14" s="619"/>
      <c r="C14" s="619"/>
      <c r="D14" s="609"/>
      <c r="E14" s="609"/>
      <c r="F14" s="609"/>
      <c r="G14" s="609"/>
    </row>
    <row r="15" spans="1:11" ht="63.75" customHeight="1" x14ac:dyDescent="0.2">
      <c r="A15" s="654" t="s">
        <v>617</v>
      </c>
      <c r="B15" s="640" t="s">
        <v>466</v>
      </c>
      <c r="C15" s="641"/>
      <c r="D15" s="642"/>
      <c r="E15" s="654" t="s">
        <v>467</v>
      </c>
      <c r="F15" s="654" t="s">
        <v>71</v>
      </c>
      <c r="G15" s="654" t="s">
        <v>72</v>
      </c>
    </row>
    <row r="16" spans="1:11" x14ac:dyDescent="0.2">
      <c r="A16" s="656"/>
      <c r="B16" s="583">
        <v>1997</v>
      </c>
      <c r="C16" s="583">
        <v>2007</v>
      </c>
      <c r="D16" s="4">
        <v>2018</v>
      </c>
      <c r="E16" s="656"/>
      <c r="F16" s="656"/>
      <c r="G16" s="656"/>
    </row>
    <row r="17" spans="1:8" x14ac:dyDescent="0.2">
      <c r="A17" s="573" t="s">
        <v>623</v>
      </c>
      <c r="B17" s="584">
        <f>100*B6/B$12</f>
        <v>14.496314496314497</v>
      </c>
      <c r="C17" s="584">
        <f t="shared" ref="C17:G17" si="0">100*C6/C$12</f>
        <v>17.383820998278829</v>
      </c>
      <c r="D17" s="574">
        <f t="shared" si="0"/>
        <v>21.095890410958905</v>
      </c>
      <c r="E17" s="574">
        <f t="shared" si="0"/>
        <v>9.5238095238095237</v>
      </c>
      <c r="F17" s="574">
        <f t="shared" si="0"/>
        <v>24.170616113744074</v>
      </c>
      <c r="G17" s="574">
        <f t="shared" si="0"/>
        <v>3.5714285714285716</v>
      </c>
    </row>
    <row r="18" spans="1:8" ht="24.75" customHeight="1" x14ac:dyDescent="0.2">
      <c r="A18" s="573" t="s">
        <v>624</v>
      </c>
      <c r="B18" s="584">
        <f t="shared" ref="B18:G22" si="1">100*B7/B$12</f>
        <v>28.992628992628994</v>
      </c>
      <c r="C18" s="584">
        <f t="shared" si="1"/>
        <v>44.406196213425126</v>
      </c>
      <c r="D18" s="574">
        <f t="shared" si="1"/>
        <v>57.260273972602739</v>
      </c>
      <c r="E18" s="574">
        <f t="shared" si="1"/>
        <v>57.142857142857146</v>
      </c>
      <c r="F18" s="574">
        <f t="shared" si="1"/>
        <v>28.90995260663507</v>
      </c>
      <c r="G18" s="574">
        <f t="shared" si="1"/>
        <v>67.857142857142861</v>
      </c>
    </row>
    <row r="19" spans="1:8" x14ac:dyDescent="0.2">
      <c r="A19" s="573" t="s">
        <v>625</v>
      </c>
      <c r="B19" s="584">
        <f t="shared" si="1"/>
        <v>0</v>
      </c>
      <c r="C19" s="584">
        <f t="shared" si="1"/>
        <v>3.7865748709122204</v>
      </c>
      <c r="D19" s="574">
        <f t="shared" si="1"/>
        <v>3.0136986301369864</v>
      </c>
      <c r="E19" s="574">
        <f t="shared" si="1"/>
        <v>9.5238095238095237</v>
      </c>
      <c r="F19" s="574">
        <f t="shared" si="1"/>
        <v>29.383886255924171</v>
      </c>
      <c r="G19" s="574">
        <f t="shared" si="1"/>
        <v>0</v>
      </c>
    </row>
    <row r="20" spans="1:8" x14ac:dyDescent="0.2">
      <c r="A20" s="573" t="s">
        <v>626</v>
      </c>
      <c r="B20" s="584">
        <f t="shared" si="1"/>
        <v>0</v>
      </c>
      <c r="C20" s="584">
        <f t="shared" si="1"/>
        <v>0</v>
      </c>
      <c r="D20" s="574">
        <f t="shared" si="1"/>
        <v>1.095890410958904</v>
      </c>
      <c r="E20" s="574">
        <f t="shared" si="1"/>
        <v>0</v>
      </c>
      <c r="F20" s="574">
        <f t="shared" si="1"/>
        <v>31.753554502369667</v>
      </c>
      <c r="G20" s="574">
        <f t="shared" si="1"/>
        <v>0</v>
      </c>
    </row>
    <row r="21" spans="1:8" x14ac:dyDescent="0.2">
      <c r="A21" s="573" t="s">
        <v>562</v>
      </c>
      <c r="B21" s="584">
        <f t="shared" si="1"/>
        <v>14.864864864864865</v>
      </c>
      <c r="C21" s="584">
        <f t="shared" si="1"/>
        <v>12.908777969018933</v>
      </c>
      <c r="D21" s="574">
        <f t="shared" si="1"/>
        <v>8.7671232876712324</v>
      </c>
      <c r="E21" s="574">
        <f t="shared" si="1"/>
        <v>0</v>
      </c>
      <c r="F21" s="574">
        <f t="shared" si="1"/>
        <v>9.0047393364928912</v>
      </c>
      <c r="G21" s="574">
        <f t="shared" si="1"/>
        <v>10.714285714285714</v>
      </c>
    </row>
    <row r="22" spans="1:8" x14ac:dyDescent="0.2">
      <c r="A22" s="573" t="s">
        <v>627</v>
      </c>
      <c r="B22" s="584">
        <f t="shared" si="1"/>
        <v>42.137592137592137</v>
      </c>
      <c r="C22" s="584">
        <f t="shared" si="1"/>
        <v>39.931153184165233</v>
      </c>
      <c r="D22" s="574">
        <f t="shared" si="1"/>
        <v>20.273972602739725</v>
      </c>
      <c r="E22" s="574">
        <f t="shared" si="1"/>
        <v>42.857142857142854</v>
      </c>
      <c r="F22" s="574">
        <f t="shared" si="1"/>
        <v>13.270142180094787</v>
      </c>
      <c r="G22" s="574">
        <f t="shared" si="1"/>
        <v>14.285714285714286</v>
      </c>
    </row>
    <row r="23" spans="1:8" x14ac:dyDescent="0.2">
      <c r="A23" s="572"/>
      <c r="D23" s="572"/>
      <c r="E23" s="572"/>
      <c r="F23" s="572"/>
      <c r="G23" s="572"/>
      <c r="H23" s="572"/>
    </row>
    <row r="24" spans="1:8" x14ac:dyDescent="0.2">
      <c r="A24" s="608" t="s">
        <v>473</v>
      </c>
      <c r="B24" s="608"/>
      <c r="C24" s="608"/>
      <c r="D24" s="609"/>
      <c r="E24" s="609"/>
      <c r="F24" s="609"/>
      <c r="G24" s="609"/>
    </row>
    <row r="25" spans="1:8" x14ac:dyDescent="0.2">
      <c r="A25" s="608" t="s">
        <v>474</v>
      </c>
      <c r="B25" s="608"/>
      <c r="C25" s="608"/>
      <c r="D25" s="609"/>
      <c r="E25" s="609"/>
      <c r="F25" s="609"/>
      <c r="G25" s="609"/>
    </row>
    <row r="26" spans="1:8" x14ac:dyDescent="0.2">
      <c r="A26" s="608" t="s">
        <v>629</v>
      </c>
      <c r="B26" s="608"/>
      <c r="C26" s="608"/>
      <c r="D26" s="609"/>
      <c r="E26" s="609"/>
      <c r="F26" s="609"/>
      <c r="G26" s="609"/>
    </row>
    <row r="27" spans="1:8" x14ac:dyDescent="0.2">
      <c r="A27" s="608" t="s">
        <v>45</v>
      </c>
      <c r="B27" s="608"/>
      <c r="C27" s="608"/>
      <c r="D27" s="609"/>
      <c r="E27" s="609"/>
      <c r="F27" s="609"/>
      <c r="G27" s="609"/>
    </row>
    <row r="28" spans="1:8" x14ac:dyDescent="0.2">
      <c r="A28" s="608" t="s">
        <v>630</v>
      </c>
      <c r="B28" s="608"/>
      <c r="C28" s="608"/>
      <c r="D28" s="609"/>
      <c r="E28" s="609"/>
      <c r="F28" s="609"/>
      <c r="G28" s="609"/>
    </row>
    <row r="29" spans="1:8" x14ac:dyDescent="0.2">
      <c r="A29" s="660" t="s">
        <v>962</v>
      </c>
      <c r="B29" s="610"/>
      <c r="C29" s="610"/>
      <c r="D29" s="609"/>
      <c r="E29" s="609"/>
      <c r="F29" s="609"/>
      <c r="G29" s="609"/>
    </row>
  </sheetData>
  <mergeCells count="20">
    <mergeCell ref="I1:K2"/>
    <mergeCell ref="A1:G1"/>
    <mergeCell ref="A3:G3"/>
    <mergeCell ref="A24:G24"/>
    <mergeCell ref="A25:G25"/>
    <mergeCell ref="B4:D4"/>
    <mergeCell ref="A14:G14"/>
    <mergeCell ref="B15:D15"/>
    <mergeCell ref="A4:A5"/>
    <mergeCell ref="E4:E5"/>
    <mergeCell ref="F4:F5"/>
    <mergeCell ref="G4:G5"/>
    <mergeCell ref="E15:E16"/>
    <mergeCell ref="F15:F16"/>
    <mergeCell ref="G15:G16"/>
    <mergeCell ref="A15:A16"/>
    <mergeCell ref="A26:G26"/>
    <mergeCell ref="A27:G27"/>
    <mergeCell ref="A28:G28"/>
    <mergeCell ref="A29:G29"/>
  </mergeCells>
  <pageMargins left="0.6" right="0.79" top="0.79" bottom="1.06" header="0.3" footer="0.3"/>
  <pageSetup paperSize="9" fitToWidth="0" fitToHeight="0" orientation="portrait" horizontalDpi="300" verticalDpi="30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A12" sqref="A12:G12"/>
    </sheetView>
  </sheetViews>
  <sheetFormatPr baseColWidth="10" defaultColWidth="9.140625" defaultRowHeight="12.75" x14ac:dyDescent="0.2"/>
  <cols>
    <col min="1" max="1" width="23.7109375" customWidth="1"/>
    <col min="2" max="3" width="5.7109375" style="572" bestFit="1" customWidth="1"/>
    <col min="4" max="5" width="13.7109375" customWidth="1"/>
    <col min="6" max="7" width="12.7109375" customWidth="1"/>
  </cols>
  <sheetData>
    <row r="1" spans="1:11" ht="15" customHeight="1" x14ac:dyDescent="0.2">
      <c r="A1" s="612" t="s">
        <v>631</v>
      </c>
      <c r="B1" s="612"/>
      <c r="C1" s="612"/>
      <c r="D1" s="609"/>
      <c r="E1" s="609"/>
      <c r="F1" s="609"/>
      <c r="G1" s="609"/>
      <c r="I1" s="611" t="str">
        <f>HYPERLINK("#'sommaire'!A1", "Retour sommaire")</f>
        <v>Retour sommaire</v>
      </c>
      <c r="J1" s="609"/>
      <c r="K1" s="609"/>
    </row>
    <row r="2" spans="1:11" x14ac:dyDescent="0.2">
      <c r="I2" s="609"/>
      <c r="J2" s="609"/>
      <c r="K2" s="609"/>
    </row>
    <row r="3" spans="1:11" x14ac:dyDescent="0.2">
      <c r="A3" s="619" t="s">
        <v>593</v>
      </c>
      <c r="B3" s="619"/>
      <c r="C3" s="619"/>
      <c r="D3" s="609"/>
      <c r="E3" s="609"/>
      <c r="F3" s="609"/>
      <c r="G3" s="609"/>
    </row>
    <row r="4" spans="1:11" ht="76.5" customHeight="1" x14ac:dyDescent="0.2">
      <c r="A4" s="654" t="s">
        <v>617</v>
      </c>
      <c r="B4" s="640" t="s">
        <v>466</v>
      </c>
      <c r="C4" s="641"/>
      <c r="D4" s="642"/>
      <c r="E4" s="654" t="s">
        <v>467</v>
      </c>
      <c r="F4" s="654" t="s">
        <v>71</v>
      </c>
      <c r="G4" s="654" t="s">
        <v>72</v>
      </c>
    </row>
    <row r="5" spans="1:11" s="572" customFormat="1" x14ac:dyDescent="0.2">
      <c r="A5" s="656"/>
      <c r="B5" s="583">
        <v>1997</v>
      </c>
      <c r="C5" s="583">
        <v>2007</v>
      </c>
      <c r="D5" s="4">
        <v>2018</v>
      </c>
      <c r="E5" s="656"/>
      <c r="F5" s="656"/>
      <c r="G5" s="656"/>
    </row>
    <row r="6" spans="1:11" x14ac:dyDescent="0.2">
      <c r="A6" s="17" t="s">
        <v>633</v>
      </c>
      <c r="B6" s="584">
        <v>125</v>
      </c>
      <c r="C6" s="584">
        <v>97</v>
      </c>
      <c r="D6" s="370">
        <v>28</v>
      </c>
      <c r="E6" s="372">
        <v>4</v>
      </c>
      <c r="F6" s="374">
        <v>26</v>
      </c>
      <c r="G6" s="376">
        <v>10</v>
      </c>
    </row>
    <row r="7" spans="1:11" x14ac:dyDescent="0.2">
      <c r="A7" s="17" t="s">
        <v>632</v>
      </c>
      <c r="B7" s="661">
        <v>343</v>
      </c>
      <c r="C7" s="661">
        <v>214</v>
      </c>
      <c r="D7" s="370">
        <v>290</v>
      </c>
      <c r="E7" s="372">
        <v>15</v>
      </c>
      <c r="F7" s="374">
        <v>65</v>
      </c>
      <c r="G7" s="376">
        <v>16</v>
      </c>
    </row>
    <row r="8" spans="1:11" x14ac:dyDescent="0.2">
      <c r="A8" s="17" t="s">
        <v>562</v>
      </c>
      <c r="B8" s="662"/>
      <c r="C8" s="662"/>
      <c r="D8" s="370">
        <v>28</v>
      </c>
      <c r="E8" s="372">
        <v>2</v>
      </c>
      <c r="F8" s="374">
        <v>3</v>
      </c>
      <c r="G8" s="376">
        <v>1</v>
      </c>
    </row>
    <row r="9" spans="1:11" ht="25.5" x14ac:dyDescent="0.2">
      <c r="A9" s="17" t="s">
        <v>634</v>
      </c>
      <c r="B9" s="584" t="s">
        <v>60</v>
      </c>
      <c r="C9" s="584" t="s">
        <v>60</v>
      </c>
      <c r="D9" s="370">
        <v>5</v>
      </c>
      <c r="E9" s="372">
        <v>2</v>
      </c>
      <c r="F9" s="374">
        <v>70</v>
      </c>
      <c r="G9" s="376">
        <v>0</v>
      </c>
    </row>
    <row r="10" spans="1:11" x14ac:dyDescent="0.2">
      <c r="A10" s="6" t="s">
        <v>628</v>
      </c>
      <c r="B10" s="585">
        <v>814</v>
      </c>
      <c r="C10" s="585">
        <v>581</v>
      </c>
      <c r="D10" s="369">
        <v>365</v>
      </c>
      <c r="E10" s="371">
        <v>21</v>
      </c>
      <c r="F10" s="373">
        <v>211</v>
      </c>
      <c r="G10" s="375">
        <v>28</v>
      </c>
    </row>
    <row r="11" spans="1:11" x14ac:dyDescent="0.2">
      <c r="A11" s="572"/>
      <c r="D11" s="572"/>
      <c r="E11" s="572"/>
      <c r="F11" s="572"/>
      <c r="G11" s="572"/>
    </row>
    <row r="12" spans="1:11" x14ac:dyDescent="0.2">
      <c r="A12" s="663" t="s">
        <v>961</v>
      </c>
      <c r="B12" s="619"/>
      <c r="C12" s="619"/>
      <c r="D12" s="609"/>
      <c r="E12" s="609"/>
      <c r="F12" s="609"/>
      <c r="G12" s="609"/>
    </row>
    <row r="13" spans="1:11" ht="76.5" customHeight="1" x14ac:dyDescent="0.2">
      <c r="A13" s="654" t="s">
        <v>617</v>
      </c>
      <c r="B13" s="640" t="s">
        <v>466</v>
      </c>
      <c r="C13" s="641"/>
      <c r="D13" s="642"/>
      <c r="E13" s="654" t="s">
        <v>467</v>
      </c>
      <c r="F13" s="654" t="s">
        <v>71</v>
      </c>
      <c r="G13" s="654" t="s">
        <v>72</v>
      </c>
    </row>
    <row r="14" spans="1:11" ht="24.75" customHeight="1" x14ac:dyDescent="0.2">
      <c r="A14" s="656"/>
      <c r="B14" s="583">
        <v>1997</v>
      </c>
      <c r="C14" s="583">
        <v>2007</v>
      </c>
      <c r="D14" s="4">
        <v>2018</v>
      </c>
      <c r="E14" s="656"/>
      <c r="F14" s="656"/>
      <c r="G14" s="656"/>
    </row>
    <row r="15" spans="1:11" x14ac:dyDescent="0.2">
      <c r="A15" s="573" t="s">
        <v>633</v>
      </c>
      <c r="B15" s="584">
        <f>100*B6/B$10</f>
        <v>15.356265356265355</v>
      </c>
      <c r="C15" s="584">
        <f t="shared" ref="C15:D15" si="0">100*C6/C$10</f>
        <v>16.695352839931154</v>
      </c>
      <c r="D15" s="574">
        <f t="shared" si="0"/>
        <v>7.6712328767123283</v>
      </c>
      <c r="E15" s="574">
        <f t="shared" ref="E15:G15" si="1">100*E6/E$10</f>
        <v>19.047619047619047</v>
      </c>
      <c r="F15" s="574">
        <f t="shared" si="1"/>
        <v>12.322274881516588</v>
      </c>
      <c r="G15" s="574">
        <f t="shared" si="1"/>
        <v>35.714285714285715</v>
      </c>
    </row>
    <row r="16" spans="1:11" x14ac:dyDescent="0.2">
      <c r="A16" s="573" t="s">
        <v>632</v>
      </c>
      <c r="B16" s="661">
        <f>100*B7/B10</f>
        <v>42.137592137592137</v>
      </c>
      <c r="C16" s="661">
        <f>100*214/C10</f>
        <v>36.833046471600689</v>
      </c>
      <c r="D16" s="574">
        <f t="shared" ref="D16:G16" si="2">100*D7/D$10</f>
        <v>79.452054794520549</v>
      </c>
      <c r="E16" s="574">
        <f t="shared" si="2"/>
        <v>71.428571428571431</v>
      </c>
      <c r="F16" s="574">
        <f t="shared" si="2"/>
        <v>30.805687203791468</v>
      </c>
      <c r="G16" s="574">
        <f t="shared" si="2"/>
        <v>57.142857142857146</v>
      </c>
    </row>
    <row r="17" spans="1:7" x14ac:dyDescent="0.2">
      <c r="A17" s="573" t="s">
        <v>562</v>
      </c>
      <c r="B17" s="662"/>
      <c r="C17" s="662"/>
      <c r="D17" s="574">
        <f t="shared" ref="D17:G17" si="3">100*D8/D$10</f>
        <v>7.6712328767123283</v>
      </c>
      <c r="E17" s="574">
        <f t="shared" si="3"/>
        <v>9.5238095238095237</v>
      </c>
      <c r="F17" s="574">
        <f t="shared" si="3"/>
        <v>1.4218009478672986</v>
      </c>
      <c r="G17" s="574">
        <f t="shared" si="3"/>
        <v>3.5714285714285716</v>
      </c>
    </row>
    <row r="18" spans="1:7" ht="25.5" x14ac:dyDescent="0.2">
      <c r="A18" s="573" t="s">
        <v>634</v>
      </c>
      <c r="B18" s="584" t="s">
        <v>60</v>
      </c>
      <c r="C18" s="584" t="s">
        <v>60</v>
      </c>
      <c r="D18" s="574">
        <f t="shared" ref="D18:G18" si="4">100*D9/D$10</f>
        <v>1.3698630136986301</v>
      </c>
      <c r="E18" s="574">
        <f t="shared" si="4"/>
        <v>9.5238095238095237</v>
      </c>
      <c r="F18" s="574">
        <f t="shared" si="4"/>
        <v>33.175355450236964</v>
      </c>
      <c r="G18" s="574">
        <f t="shared" si="4"/>
        <v>0</v>
      </c>
    </row>
    <row r="19" spans="1:7" x14ac:dyDescent="0.2">
      <c r="A19" s="572"/>
      <c r="D19" s="572"/>
      <c r="E19" s="572"/>
      <c r="F19" s="572"/>
      <c r="G19" s="572"/>
    </row>
    <row r="20" spans="1:7" x14ac:dyDescent="0.2">
      <c r="A20" s="608" t="s">
        <v>473</v>
      </c>
      <c r="B20" s="608"/>
      <c r="C20" s="608"/>
      <c r="D20" s="609"/>
      <c r="E20" s="609"/>
      <c r="F20" s="609"/>
      <c r="G20" s="609"/>
    </row>
    <row r="21" spans="1:7" x14ac:dyDescent="0.2">
      <c r="A21" s="608" t="s">
        <v>474</v>
      </c>
      <c r="B21" s="608"/>
      <c r="C21" s="608"/>
      <c r="D21" s="609"/>
      <c r="E21" s="609"/>
      <c r="F21" s="609"/>
      <c r="G21" s="609"/>
    </row>
    <row r="22" spans="1:7" x14ac:dyDescent="0.2">
      <c r="A22" s="608" t="s">
        <v>45</v>
      </c>
      <c r="B22" s="608"/>
      <c r="C22" s="608"/>
      <c r="D22" s="609"/>
      <c r="E22" s="609"/>
      <c r="F22" s="609"/>
      <c r="G22" s="609"/>
    </row>
    <row r="23" spans="1:7" x14ac:dyDescent="0.2">
      <c r="A23" s="608" t="s">
        <v>635</v>
      </c>
      <c r="B23" s="608"/>
      <c r="C23" s="608"/>
      <c r="D23" s="609"/>
      <c r="E23" s="609"/>
      <c r="F23" s="609"/>
      <c r="G23" s="609"/>
    </row>
    <row r="24" spans="1:7" x14ac:dyDescent="0.2">
      <c r="A24" s="660" t="s">
        <v>962</v>
      </c>
      <c r="B24" s="610"/>
      <c r="C24" s="610"/>
      <c r="D24" s="609"/>
      <c r="E24" s="609"/>
      <c r="F24" s="609"/>
      <c r="G24" s="609"/>
    </row>
  </sheetData>
  <mergeCells count="23">
    <mergeCell ref="A22:G22"/>
    <mergeCell ref="A23:G23"/>
    <mergeCell ref="A24:G24"/>
    <mergeCell ref="I1:K2"/>
    <mergeCell ref="A1:G1"/>
    <mergeCell ref="A3:G3"/>
    <mergeCell ref="A20:G20"/>
    <mergeCell ref="A21:G21"/>
    <mergeCell ref="B7:B8"/>
    <mergeCell ref="C7:C8"/>
    <mergeCell ref="B4:D4"/>
    <mergeCell ref="A12:G12"/>
    <mergeCell ref="B13:D13"/>
    <mergeCell ref="B16:B17"/>
    <mergeCell ref="C16:C17"/>
    <mergeCell ref="A4:A5"/>
    <mergeCell ref="E4:E5"/>
    <mergeCell ref="F4:F5"/>
    <mergeCell ref="G4:G5"/>
    <mergeCell ref="A13:A14"/>
    <mergeCell ref="E13:E14"/>
    <mergeCell ref="F13:F14"/>
    <mergeCell ref="G13:G14"/>
  </mergeCells>
  <pageMargins left="0.6" right="0.79" top="0.79" bottom="1.06" header="0.3" footer="0.3"/>
  <pageSetup paperSize="9" fitToWidth="0" fitToHeight="0" orientation="portrait" horizontalDpi="300" verticalDpi="30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G1" sqref="G1:I2"/>
    </sheetView>
  </sheetViews>
  <sheetFormatPr baseColWidth="10" defaultColWidth="9.140625" defaultRowHeight="12.75" x14ac:dyDescent="0.2"/>
  <cols>
    <col min="1" max="1" width="19.7109375" customWidth="1"/>
    <col min="2" max="5" width="16.7109375" customWidth="1"/>
  </cols>
  <sheetData>
    <row r="1" spans="1:9" ht="15" customHeight="1" x14ac:dyDescent="0.2">
      <c r="A1" s="612" t="s">
        <v>636</v>
      </c>
      <c r="B1" s="609"/>
      <c r="C1" s="609"/>
      <c r="D1" s="609"/>
      <c r="E1" s="609"/>
      <c r="G1" s="611" t="str">
        <f>HYPERLINK("#'sommaire'!A1", "Retour sommaire")</f>
        <v>Retour sommaire</v>
      </c>
      <c r="H1" s="609"/>
      <c r="I1" s="609"/>
    </row>
    <row r="2" spans="1:9" x14ac:dyDescent="0.2">
      <c r="G2" s="609"/>
      <c r="H2" s="609"/>
      <c r="I2" s="609"/>
    </row>
    <row r="3" spans="1:9" x14ac:dyDescent="0.2">
      <c r="A3" s="619" t="s">
        <v>593</v>
      </c>
      <c r="B3" s="609"/>
      <c r="C3" s="609"/>
      <c r="D3" s="609"/>
      <c r="E3" s="609"/>
    </row>
    <row r="4" spans="1:9" ht="63.75" x14ac:dyDescent="0.2">
      <c r="A4" s="4" t="s">
        <v>594</v>
      </c>
      <c r="B4" s="4" t="s">
        <v>466</v>
      </c>
      <c r="C4" s="4" t="s">
        <v>467</v>
      </c>
      <c r="D4" s="4" t="s">
        <v>71</v>
      </c>
      <c r="E4" s="4" t="s">
        <v>72</v>
      </c>
    </row>
    <row r="5" spans="1:9" ht="25.5" x14ac:dyDescent="0.2">
      <c r="A5" s="17" t="s">
        <v>637</v>
      </c>
      <c r="B5" s="378">
        <v>233</v>
      </c>
      <c r="C5" s="380">
        <v>14</v>
      </c>
      <c r="D5" s="382">
        <v>1</v>
      </c>
      <c r="E5" s="384">
        <v>3</v>
      </c>
    </row>
    <row r="6" spans="1:9" ht="25.5" x14ac:dyDescent="0.2">
      <c r="A6" s="17" t="s">
        <v>638</v>
      </c>
      <c r="B6" s="378">
        <v>108</v>
      </c>
      <c r="C6" s="380">
        <v>11</v>
      </c>
      <c r="D6" s="382">
        <v>1</v>
      </c>
      <c r="E6" s="384">
        <v>10</v>
      </c>
    </row>
    <row r="7" spans="1:9" ht="25.5" x14ac:dyDescent="0.2">
      <c r="A7" s="17" t="s">
        <v>639</v>
      </c>
      <c r="B7" s="378">
        <v>0</v>
      </c>
      <c r="C7" s="380">
        <v>0</v>
      </c>
      <c r="D7" s="382">
        <v>0</v>
      </c>
      <c r="E7" s="384">
        <v>4</v>
      </c>
    </row>
    <row r="8" spans="1:9" x14ac:dyDescent="0.2">
      <c r="A8" s="17" t="s">
        <v>640</v>
      </c>
      <c r="B8" s="378">
        <v>131</v>
      </c>
      <c r="C8" s="380">
        <v>14</v>
      </c>
      <c r="D8" s="382">
        <v>32</v>
      </c>
      <c r="E8" s="384">
        <v>7</v>
      </c>
    </row>
    <row r="9" spans="1:9" ht="25.5" x14ac:dyDescent="0.2">
      <c r="A9" s="17" t="s">
        <v>641</v>
      </c>
      <c r="B9" s="378">
        <v>25</v>
      </c>
      <c r="C9" s="380">
        <v>3</v>
      </c>
      <c r="D9" s="382">
        <v>14</v>
      </c>
      <c r="E9" s="384">
        <v>0</v>
      </c>
    </row>
    <row r="10" spans="1:9" ht="25.5" x14ac:dyDescent="0.2">
      <c r="A10" s="17" t="s">
        <v>642</v>
      </c>
      <c r="B10" s="378">
        <v>77</v>
      </c>
      <c r="C10" s="380">
        <v>3</v>
      </c>
      <c r="D10" s="382">
        <v>145</v>
      </c>
      <c r="E10" s="384">
        <v>13</v>
      </c>
    </row>
    <row r="11" spans="1:9" ht="25.5" x14ac:dyDescent="0.2">
      <c r="A11" s="6" t="s">
        <v>628</v>
      </c>
      <c r="B11" s="377">
        <v>365</v>
      </c>
      <c r="C11" s="379">
        <v>21</v>
      </c>
      <c r="D11" s="381">
        <v>211</v>
      </c>
      <c r="E11" s="383">
        <v>28</v>
      </c>
    </row>
    <row r="12" spans="1:9" x14ac:dyDescent="0.2">
      <c r="A12" s="608" t="s">
        <v>473</v>
      </c>
      <c r="B12" s="609"/>
      <c r="C12" s="609"/>
      <c r="D12" s="609"/>
      <c r="E12" s="609"/>
    </row>
    <row r="13" spans="1:9" x14ac:dyDescent="0.2">
      <c r="A13" s="608" t="s">
        <v>474</v>
      </c>
      <c r="B13" s="609"/>
      <c r="C13" s="609"/>
      <c r="D13" s="609"/>
      <c r="E13" s="609"/>
    </row>
    <row r="14" spans="1:9" x14ac:dyDescent="0.2">
      <c r="A14" s="608" t="s">
        <v>643</v>
      </c>
      <c r="B14" s="609"/>
      <c r="C14" s="609"/>
      <c r="D14" s="609"/>
      <c r="E14" s="609"/>
    </row>
    <row r="15" spans="1:9" x14ac:dyDescent="0.2">
      <c r="A15" s="608" t="s">
        <v>45</v>
      </c>
      <c r="B15" s="609"/>
      <c r="C15" s="609"/>
      <c r="D15" s="609"/>
      <c r="E15" s="609"/>
    </row>
    <row r="16" spans="1:9" ht="33.75" customHeight="1" x14ac:dyDescent="0.2">
      <c r="A16" s="608" t="s">
        <v>644</v>
      </c>
      <c r="B16" s="609"/>
      <c r="C16" s="609"/>
      <c r="D16" s="609"/>
      <c r="E16" s="609"/>
    </row>
    <row r="17" spans="1:5" x14ac:dyDescent="0.2">
      <c r="A17" s="610" t="s">
        <v>430</v>
      </c>
      <c r="B17" s="609"/>
      <c r="C17" s="609"/>
      <c r="D17" s="609"/>
      <c r="E17" s="609"/>
    </row>
  </sheetData>
  <mergeCells count="9">
    <mergeCell ref="A14:E14"/>
    <mergeCell ref="A15:E15"/>
    <mergeCell ref="A16:E16"/>
    <mergeCell ref="A17:E17"/>
    <mergeCell ref="G1:I2"/>
    <mergeCell ref="A1:E1"/>
    <mergeCell ref="A3:E3"/>
    <mergeCell ref="A12:E12"/>
    <mergeCell ref="A13:E13"/>
  </mergeCells>
  <pageMargins left="0.6" right="0.79" top="0.79" bottom="1.06" header="0.3" footer="0.3"/>
  <pageSetup paperSize="9" fitToWidth="0" fitToHeight="0" orientation="portrait" horizontalDpi="300" verticalDpi="30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sqref="A1:E1"/>
    </sheetView>
  </sheetViews>
  <sheetFormatPr baseColWidth="10" defaultColWidth="9.140625" defaultRowHeight="12.75" x14ac:dyDescent="0.2"/>
  <cols>
    <col min="1" max="1" width="19.7109375" customWidth="1"/>
    <col min="2" max="5" width="16.7109375" customWidth="1"/>
  </cols>
  <sheetData>
    <row r="1" spans="1:9" ht="15" customHeight="1" x14ac:dyDescent="0.2">
      <c r="A1" s="612" t="s">
        <v>645</v>
      </c>
      <c r="B1" s="609"/>
      <c r="C1" s="609"/>
      <c r="D1" s="609"/>
      <c r="E1" s="609"/>
      <c r="G1" s="611" t="str">
        <f>HYPERLINK("#'sommaire'!A1", "Retour sommaire")</f>
        <v>Retour sommaire</v>
      </c>
      <c r="H1" s="609"/>
      <c r="I1" s="609"/>
    </row>
    <row r="2" spans="1:9" x14ac:dyDescent="0.2">
      <c r="G2" s="609"/>
      <c r="H2" s="609"/>
      <c r="I2" s="609"/>
    </row>
    <row r="3" spans="1:9" x14ac:dyDescent="0.2">
      <c r="A3" s="619" t="s">
        <v>593</v>
      </c>
      <c r="B3" s="609"/>
      <c r="C3" s="609"/>
      <c r="D3" s="609"/>
      <c r="E3" s="609"/>
    </row>
    <row r="4" spans="1:9" ht="63.75" x14ac:dyDescent="0.2">
      <c r="A4" s="4" t="s">
        <v>645</v>
      </c>
      <c r="B4" s="4" t="s">
        <v>466</v>
      </c>
      <c r="C4" s="4" t="s">
        <v>467</v>
      </c>
      <c r="D4" s="4" t="s">
        <v>71</v>
      </c>
      <c r="E4" s="4" t="s">
        <v>72</v>
      </c>
    </row>
    <row r="5" spans="1:9" ht="38.25" x14ac:dyDescent="0.2">
      <c r="A5" s="17" t="s">
        <v>646</v>
      </c>
      <c r="B5" s="386">
        <v>185</v>
      </c>
      <c r="C5" s="388">
        <v>14</v>
      </c>
      <c r="D5" s="390">
        <v>68</v>
      </c>
      <c r="E5" s="392">
        <v>7</v>
      </c>
    </row>
    <row r="6" spans="1:9" ht="38.25" x14ac:dyDescent="0.2">
      <c r="A6" s="17" t="s">
        <v>647</v>
      </c>
      <c r="B6" s="386">
        <v>54</v>
      </c>
      <c r="C6" s="388">
        <v>1</v>
      </c>
      <c r="D6" s="390">
        <v>14</v>
      </c>
      <c r="E6" s="392">
        <v>0</v>
      </c>
    </row>
    <row r="7" spans="1:9" x14ac:dyDescent="0.2">
      <c r="A7" s="17" t="s">
        <v>648</v>
      </c>
      <c r="B7" s="386">
        <v>126</v>
      </c>
      <c r="C7" s="388">
        <v>6</v>
      </c>
      <c r="D7" s="390">
        <v>129</v>
      </c>
      <c r="E7" s="392">
        <v>21</v>
      </c>
    </row>
    <row r="8" spans="1:9" ht="25.5" x14ac:dyDescent="0.2">
      <c r="A8" s="6" t="s">
        <v>628</v>
      </c>
      <c r="B8" s="385">
        <v>365</v>
      </c>
      <c r="C8" s="387">
        <v>21</v>
      </c>
      <c r="D8" s="389">
        <v>211</v>
      </c>
      <c r="E8" s="391">
        <v>28</v>
      </c>
    </row>
    <row r="9" spans="1:9" x14ac:dyDescent="0.2">
      <c r="A9" s="608" t="s">
        <v>473</v>
      </c>
      <c r="B9" s="609"/>
      <c r="C9" s="609"/>
      <c r="D9" s="609"/>
      <c r="E9" s="609"/>
    </row>
    <row r="10" spans="1:9" x14ac:dyDescent="0.2">
      <c r="A10" s="608" t="s">
        <v>474</v>
      </c>
      <c r="B10" s="609"/>
      <c r="C10" s="609"/>
      <c r="D10" s="609"/>
      <c r="E10" s="609"/>
    </row>
    <row r="11" spans="1:9" x14ac:dyDescent="0.2">
      <c r="A11" s="608" t="s">
        <v>45</v>
      </c>
      <c r="B11" s="609"/>
      <c r="C11" s="609"/>
      <c r="D11" s="609"/>
      <c r="E11" s="609"/>
    </row>
    <row r="12" spans="1:9" ht="29.25" customHeight="1" x14ac:dyDescent="0.2">
      <c r="A12" s="608" t="s">
        <v>649</v>
      </c>
      <c r="B12" s="609"/>
      <c r="C12" s="609"/>
      <c r="D12" s="609"/>
      <c r="E12" s="609"/>
    </row>
    <row r="13" spans="1:9" x14ac:dyDescent="0.2">
      <c r="A13" s="610" t="s">
        <v>430</v>
      </c>
      <c r="B13" s="609"/>
      <c r="C13" s="609"/>
      <c r="D13" s="609"/>
      <c r="E13" s="609"/>
    </row>
  </sheetData>
  <mergeCells count="8">
    <mergeCell ref="A11:E11"/>
    <mergeCell ref="A12:E12"/>
    <mergeCell ref="A13:E13"/>
    <mergeCell ref="G1:I2"/>
    <mergeCell ref="A1:E1"/>
    <mergeCell ref="A3:E3"/>
    <mergeCell ref="A9:E9"/>
    <mergeCell ref="A10:E10"/>
  </mergeCells>
  <pageMargins left="0.6" right="0.79" top="0.79" bottom="1.06" header="0.3" footer="0.3"/>
  <pageSetup paperSize="9" fitToWidth="0" fitToHeight="0" orientation="portrait" horizontalDpi="300" verticalDpi="30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election activeCell="K23" sqref="K23"/>
    </sheetView>
  </sheetViews>
  <sheetFormatPr baseColWidth="10" defaultColWidth="9.140625" defaultRowHeight="12.75" x14ac:dyDescent="0.2"/>
  <cols>
    <col min="1" max="1" width="23.7109375" customWidth="1"/>
    <col min="2" max="3" width="6.7109375" style="572" customWidth="1"/>
    <col min="4" max="6" width="16.7109375" customWidth="1"/>
  </cols>
  <sheetData>
    <row r="1" spans="1:10" ht="15" customHeight="1" x14ac:dyDescent="0.2">
      <c r="A1" s="612" t="s">
        <v>650</v>
      </c>
      <c r="B1" s="612"/>
      <c r="C1" s="612"/>
      <c r="D1" s="609"/>
      <c r="E1" s="609"/>
      <c r="F1" s="609"/>
      <c r="H1" s="611" t="str">
        <f>HYPERLINK("#'sommaire'!A1", "Retour sommaire")</f>
        <v>Retour sommaire</v>
      </c>
      <c r="I1" s="609"/>
      <c r="J1" s="609"/>
    </row>
    <row r="2" spans="1:10" x14ac:dyDescent="0.2">
      <c r="H2" s="609"/>
      <c r="I2" s="609"/>
      <c r="J2" s="609"/>
    </row>
    <row r="3" spans="1:10" x14ac:dyDescent="0.2">
      <c r="A3" s="619" t="s">
        <v>593</v>
      </c>
      <c r="B3" s="619"/>
      <c r="C3" s="619"/>
      <c r="D3" s="609"/>
      <c r="E3" s="609"/>
      <c r="F3" s="609"/>
    </row>
    <row r="4" spans="1:10" ht="51" customHeight="1" x14ac:dyDescent="0.2">
      <c r="A4" s="654" t="s">
        <v>651</v>
      </c>
      <c r="B4" s="640" t="s">
        <v>466</v>
      </c>
      <c r="C4" s="641"/>
      <c r="D4" s="642"/>
      <c r="E4" s="654" t="s">
        <v>467</v>
      </c>
      <c r="F4" s="654" t="s">
        <v>72</v>
      </c>
    </row>
    <row r="5" spans="1:10" s="572" customFormat="1" x14ac:dyDescent="0.2">
      <c r="A5" s="656"/>
      <c r="B5" s="583">
        <v>1997</v>
      </c>
      <c r="C5" s="583">
        <v>2007</v>
      </c>
      <c r="D5" s="4">
        <v>2017</v>
      </c>
      <c r="E5" s="656"/>
      <c r="F5" s="656"/>
    </row>
    <row r="6" spans="1:10" ht="25.5" x14ac:dyDescent="0.2">
      <c r="A6" s="17" t="s">
        <v>652</v>
      </c>
      <c r="B6" s="584">
        <v>81</v>
      </c>
      <c r="C6" s="584">
        <v>111</v>
      </c>
      <c r="D6" s="394">
        <v>114</v>
      </c>
      <c r="E6" s="396">
        <v>1</v>
      </c>
      <c r="F6" s="398">
        <v>9</v>
      </c>
    </row>
    <row r="7" spans="1:10" ht="25.5" x14ac:dyDescent="0.2">
      <c r="A7" s="17" t="s">
        <v>653</v>
      </c>
      <c r="B7" s="584">
        <v>97</v>
      </c>
      <c r="C7" s="584">
        <v>82</v>
      </c>
      <c r="D7" s="394">
        <v>65</v>
      </c>
      <c r="E7" s="396">
        <v>4</v>
      </c>
      <c r="F7" s="398">
        <v>3</v>
      </c>
    </row>
    <row r="8" spans="1:10" ht="25.5" x14ac:dyDescent="0.2">
      <c r="A8" s="17" t="s">
        <v>654</v>
      </c>
      <c r="B8" s="584">
        <v>287</v>
      </c>
      <c r="C8" s="584">
        <v>250</v>
      </c>
      <c r="D8" s="394">
        <v>169</v>
      </c>
      <c r="E8" s="396">
        <v>1</v>
      </c>
      <c r="F8" s="398">
        <v>9</v>
      </c>
    </row>
    <row r="9" spans="1:10" x14ac:dyDescent="0.2">
      <c r="A9" s="17" t="s">
        <v>655</v>
      </c>
      <c r="B9" s="584">
        <v>397</v>
      </c>
      <c r="C9" s="584">
        <v>280</v>
      </c>
      <c r="D9" s="394">
        <v>125</v>
      </c>
      <c r="E9" s="396">
        <v>3</v>
      </c>
      <c r="F9" s="398">
        <v>12</v>
      </c>
    </row>
    <row r="10" spans="1:10" x14ac:dyDescent="0.2">
      <c r="A10" s="17" t="s">
        <v>656</v>
      </c>
      <c r="B10" s="584">
        <v>87</v>
      </c>
      <c r="C10" s="584">
        <v>58</v>
      </c>
      <c r="D10" s="394">
        <v>70</v>
      </c>
      <c r="E10" s="396">
        <v>1</v>
      </c>
      <c r="F10" s="398">
        <v>10</v>
      </c>
    </row>
    <row r="11" spans="1:10" x14ac:dyDescent="0.2">
      <c r="A11" s="17" t="s">
        <v>657</v>
      </c>
      <c r="B11" s="584">
        <v>163</v>
      </c>
      <c r="C11" s="584">
        <v>162</v>
      </c>
      <c r="D11" s="394">
        <v>126</v>
      </c>
      <c r="E11" s="396">
        <v>3</v>
      </c>
      <c r="F11" s="398">
        <v>3</v>
      </c>
    </row>
    <row r="12" spans="1:10" x14ac:dyDescent="0.2">
      <c r="A12" s="17" t="s">
        <v>658</v>
      </c>
      <c r="B12" s="584">
        <v>140</v>
      </c>
      <c r="C12" s="584">
        <v>98</v>
      </c>
      <c r="D12" s="394">
        <v>0</v>
      </c>
      <c r="E12" s="396"/>
      <c r="F12" s="398">
        <v>6</v>
      </c>
    </row>
    <row r="13" spans="1:10" x14ac:dyDescent="0.2">
      <c r="A13" s="17" t="s">
        <v>562</v>
      </c>
      <c r="B13" s="584" t="s">
        <v>60</v>
      </c>
      <c r="C13" s="584" t="s">
        <v>60</v>
      </c>
      <c r="D13" s="394">
        <v>4</v>
      </c>
      <c r="E13" s="396">
        <v>0</v>
      </c>
      <c r="F13" s="398">
        <v>0</v>
      </c>
    </row>
    <row r="14" spans="1:10" x14ac:dyDescent="0.2">
      <c r="A14" s="17" t="s">
        <v>627</v>
      </c>
      <c r="B14" s="584" t="s">
        <v>60</v>
      </c>
      <c r="C14" s="584" t="s">
        <v>60</v>
      </c>
      <c r="D14" s="394">
        <v>79</v>
      </c>
      <c r="E14" s="396">
        <v>10</v>
      </c>
      <c r="F14" s="398"/>
    </row>
    <row r="15" spans="1:10" x14ac:dyDescent="0.2">
      <c r="A15" s="6" t="s">
        <v>75</v>
      </c>
      <c r="B15" s="585">
        <v>814</v>
      </c>
      <c r="C15" s="585">
        <v>581</v>
      </c>
      <c r="D15" s="393">
        <v>365</v>
      </c>
      <c r="E15" s="395">
        <v>21</v>
      </c>
      <c r="F15" s="397">
        <v>28</v>
      </c>
    </row>
    <row r="16" spans="1:10" x14ac:dyDescent="0.2">
      <c r="A16" s="572"/>
      <c r="D16" s="572"/>
      <c r="E16" s="572"/>
      <c r="F16" s="572"/>
    </row>
    <row r="17" spans="1:6" x14ac:dyDescent="0.2">
      <c r="A17" s="663" t="s">
        <v>961</v>
      </c>
      <c r="B17" s="619"/>
      <c r="C17" s="619"/>
      <c r="D17" s="609"/>
      <c r="E17" s="609"/>
      <c r="F17" s="609"/>
    </row>
    <row r="18" spans="1:6" ht="24.75" customHeight="1" x14ac:dyDescent="0.2">
      <c r="A18" s="654" t="s">
        <v>651</v>
      </c>
      <c r="B18" s="640" t="s">
        <v>466</v>
      </c>
      <c r="C18" s="641"/>
      <c r="D18" s="642"/>
      <c r="E18" s="654" t="s">
        <v>467</v>
      </c>
      <c r="F18" s="654" t="s">
        <v>72</v>
      </c>
    </row>
    <row r="19" spans="1:6" ht="44.25" customHeight="1" x14ac:dyDescent="0.2">
      <c r="A19" s="656"/>
      <c r="B19" s="583">
        <v>1997</v>
      </c>
      <c r="C19" s="583">
        <v>2007</v>
      </c>
      <c r="D19" s="4">
        <v>2017</v>
      </c>
      <c r="E19" s="656"/>
      <c r="F19" s="656"/>
    </row>
    <row r="20" spans="1:6" ht="28.5" customHeight="1" x14ac:dyDescent="0.2">
      <c r="A20" s="573" t="s">
        <v>652</v>
      </c>
      <c r="B20" s="584">
        <f>100*B6/B$15</f>
        <v>9.9508599508599502</v>
      </c>
      <c r="C20" s="584">
        <f t="shared" ref="C20:F20" si="0">100*C6/C$15</f>
        <v>19.104991394148019</v>
      </c>
      <c r="D20" s="584">
        <f t="shared" si="0"/>
        <v>31.232876712328768</v>
      </c>
      <c r="E20" s="584">
        <f t="shared" si="0"/>
        <v>4.7619047619047619</v>
      </c>
      <c r="F20" s="584">
        <f t="shared" si="0"/>
        <v>32.142857142857146</v>
      </c>
    </row>
    <row r="21" spans="1:6" ht="25.5" x14ac:dyDescent="0.2">
      <c r="A21" s="573" t="s">
        <v>653</v>
      </c>
      <c r="B21" s="584">
        <f t="shared" ref="B21:F26" si="1">100*B7/B$15</f>
        <v>11.916461916461916</v>
      </c>
      <c r="C21" s="584">
        <f t="shared" si="1"/>
        <v>14.113597246127366</v>
      </c>
      <c r="D21" s="584">
        <f t="shared" si="1"/>
        <v>17.80821917808219</v>
      </c>
      <c r="E21" s="584">
        <f t="shared" si="1"/>
        <v>19.047619047619047</v>
      </c>
      <c r="F21" s="584">
        <f t="shared" si="1"/>
        <v>10.714285714285714</v>
      </c>
    </row>
    <row r="22" spans="1:6" ht="25.5" x14ac:dyDescent="0.2">
      <c r="A22" s="573" t="s">
        <v>654</v>
      </c>
      <c r="B22" s="584">
        <f t="shared" si="1"/>
        <v>35.257985257985261</v>
      </c>
      <c r="C22" s="584">
        <f t="shared" si="1"/>
        <v>43.029259896729776</v>
      </c>
      <c r="D22" s="584">
        <f t="shared" si="1"/>
        <v>46.301369863013697</v>
      </c>
      <c r="E22" s="584">
        <f t="shared" si="1"/>
        <v>4.7619047619047619</v>
      </c>
      <c r="F22" s="584">
        <f t="shared" si="1"/>
        <v>32.142857142857146</v>
      </c>
    </row>
    <row r="23" spans="1:6" x14ac:dyDescent="0.2">
      <c r="A23" s="573" t="s">
        <v>655</v>
      </c>
      <c r="B23" s="584">
        <f t="shared" si="1"/>
        <v>48.77149877149877</v>
      </c>
      <c r="C23" s="584">
        <f t="shared" si="1"/>
        <v>48.192771084337352</v>
      </c>
      <c r="D23" s="584">
        <f t="shared" si="1"/>
        <v>34.246575342465754</v>
      </c>
      <c r="E23" s="584">
        <f t="shared" si="1"/>
        <v>14.285714285714286</v>
      </c>
      <c r="F23" s="584">
        <f t="shared" si="1"/>
        <v>42.857142857142854</v>
      </c>
    </row>
    <row r="24" spans="1:6" x14ac:dyDescent="0.2">
      <c r="A24" s="573" t="s">
        <v>656</v>
      </c>
      <c r="B24" s="584">
        <f t="shared" si="1"/>
        <v>10.687960687960688</v>
      </c>
      <c r="C24" s="584">
        <f t="shared" si="1"/>
        <v>9.9827882960413081</v>
      </c>
      <c r="D24" s="584">
        <f t="shared" si="1"/>
        <v>19.17808219178082</v>
      </c>
      <c r="E24" s="584">
        <f t="shared" si="1"/>
        <v>4.7619047619047619</v>
      </c>
      <c r="F24" s="584">
        <f t="shared" si="1"/>
        <v>35.714285714285715</v>
      </c>
    </row>
    <row r="25" spans="1:6" x14ac:dyDescent="0.2">
      <c r="A25" s="573" t="s">
        <v>657</v>
      </c>
      <c r="B25" s="584">
        <f t="shared" si="1"/>
        <v>20.024570024570025</v>
      </c>
      <c r="C25" s="584">
        <f t="shared" si="1"/>
        <v>27.882960413080895</v>
      </c>
      <c r="D25" s="584">
        <f t="shared" si="1"/>
        <v>34.520547945205479</v>
      </c>
      <c r="E25" s="584">
        <f t="shared" si="1"/>
        <v>14.285714285714286</v>
      </c>
      <c r="F25" s="584">
        <f t="shared" si="1"/>
        <v>10.714285714285714</v>
      </c>
    </row>
    <row r="26" spans="1:6" x14ac:dyDescent="0.2">
      <c r="A26" s="573" t="s">
        <v>658</v>
      </c>
      <c r="B26" s="584">
        <f t="shared" si="1"/>
        <v>17.199017199017199</v>
      </c>
      <c r="C26" s="584">
        <f t="shared" si="1"/>
        <v>16.867469879518072</v>
      </c>
      <c r="D26" s="584">
        <f t="shared" si="1"/>
        <v>0</v>
      </c>
      <c r="E26" s="584">
        <f t="shared" si="1"/>
        <v>0</v>
      </c>
      <c r="F26" s="584">
        <f t="shared" si="1"/>
        <v>21.428571428571427</v>
      </c>
    </row>
    <row r="27" spans="1:6" x14ac:dyDescent="0.2">
      <c r="A27" s="573" t="s">
        <v>562</v>
      </c>
      <c r="B27" s="584" t="s">
        <v>60</v>
      </c>
      <c r="C27" s="584" t="s">
        <v>60</v>
      </c>
      <c r="D27" s="584">
        <f t="shared" ref="D27:E27" si="2">100*D13/D$15</f>
        <v>1.095890410958904</v>
      </c>
      <c r="E27" s="584">
        <f t="shared" si="2"/>
        <v>0</v>
      </c>
      <c r="F27" s="584">
        <f t="shared" ref="F27" si="3">100*F13/F$15</f>
        <v>0</v>
      </c>
    </row>
    <row r="28" spans="1:6" x14ac:dyDescent="0.2">
      <c r="A28" s="573" t="s">
        <v>627</v>
      </c>
      <c r="B28" s="584" t="s">
        <v>60</v>
      </c>
      <c r="C28" s="584" t="s">
        <v>60</v>
      </c>
      <c r="D28" s="584">
        <f t="shared" ref="D28:E28" si="4">100*D14/D$15</f>
        <v>21.643835616438356</v>
      </c>
      <c r="E28" s="584">
        <f t="shared" si="4"/>
        <v>47.61904761904762</v>
      </c>
      <c r="F28" s="584">
        <f t="shared" ref="F28" si="5">100*F14/F$15</f>
        <v>0</v>
      </c>
    </row>
    <row r="29" spans="1:6" x14ac:dyDescent="0.2">
      <c r="A29" s="572"/>
      <c r="D29" s="572"/>
      <c r="E29" s="572"/>
      <c r="F29" s="572"/>
    </row>
    <row r="30" spans="1:6" x14ac:dyDescent="0.2">
      <c r="A30" s="608" t="s">
        <v>473</v>
      </c>
      <c r="B30" s="608"/>
      <c r="C30" s="608"/>
      <c r="D30" s="609"/>
      <c r="E30" s="609"/>
      <c r="F30" s="609"/>
    </row>
    <row r="31" spans="1:6" x14ac:dyDescent="0.2">
      <c r="A31" s="608" t="s">
        <v>474</v>
      </c>
      <c r="B31" s="608"/>
      <c r="C31" s="608"/>
      <c r="D31" s="609"/>
      <c r="E31" s="609"/>
      <c r="F31" s="609"/>
    </row>
    <row r="32" spans="1:6" x14ac:dyDescent="0.2">
      <c r="A32" s="608" t="s">
        <v>659</v>
      </c>
      <c r="B32" s="608"/>
      <c r="C32" s="608"/>
      <c r="D32" s="609"/>
      <c r="E32" s="609"/>
      <c r="F32" s="609"/>
    </row>
    <row r="33" spans="1:6" x14ac:dyDescent="0.2">
      <c r="A33" s="608" t="s">
        <v>45</v>
      </c>
      <c r="B33" s="608"/>
      <c r="C33" s="608"/>
      <c r="D33" s="609"/>
      <c r="E33" s="609"/>
      <c r="F33" s="609"/>
    </row>
    <row r="34" spans="1:6" x14ac:dyDescent="0.2">
      <c r="A34" s="608" t="s">
        <v>660</v>
      </c>
      <c r="B34" s="608"/>
      <c r="C34" s="608"/>
      <c r="D34" s="609"/>
      <c r="E34" s="609"/>
      <c r="F34" s="609"/>
    </row>
    <row r="35" spans="1:6" x14ac:dyDescent="0.2">
      <c r="A35" s="660" t="s">
        <v>962</v>
      </c>
      <c r="B35" s="610"/>
      <c r="C35" s="610"/>
      <c r="D35" s="609"/>
      <c r="E35" s="609"/>
      <c r="F35" s="609"/>
    </row>
  </sheetData>
  <mergeCells count="18">
    <mergeCell ref="A35:F35"/>
    <mergeCell ref="H1:J2"/>
    <mergeCell ref="A1:F1"/>
    <mergeCell ref="A3:F3"/>
    <mergeCell ref="A30:F30"/>
    <mergeCell ref="A31:F31"/>
    <mergeCell ref="B4:D4"/>
    <mergeCell ref="A4:A5"/>
    <mergeCell ref="E4:E5"/>
    <mergeCell ref="F4:F5"/>
    <mergeCell ref="A17:F17"/>
    <mergeCell ref="A18:A19"/>
    <mergeCell ref="B18:D18"/>
    <mergeCell ref="E18:E19"/>
    <mergeCell ref="F18:F19"/>
    <mergeCell ref="A32:F32"/>
    <mergeCell ref="A33:F33"/>
    <mergeCell ref="A34:F34"/>
  </mergeCells>
  <pageMargins left="0.6" right="0.79" top="0.79" bottom="1.06" header="0.3" footer="0.3"/>
  <pageSetup paperSize="9" fitToWidth="0" fitToHeight="0" orientation="portrait" horizontalDpi="300" verticalDpi="30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sqref="A1:C1"/>
    </sheetView>
  </sheetViews>
  <sheetFormatPr baseColWidth="10" defaultColWidth="9.140625" defaultRowHeight="12.75" x14ac:dyDescent="0.2"/>
  <cols>
    <col min="1" max="3" width="25.7109375" customWidth="1"/>
  </cols>
  <sheetData>
    <row r="1" spans="1:7" ht="15" customHeight="1" x14ac:dyDescent="0.2">
      <c r="A1" s="612" t="s">
        <v>661</v>
      </c>
      <c r="B1" s="609"/>
      <c r="C1" s="609"/>
      <c r="E1" s="611" t="str">
        <f>HYPERLINK("#'sommaire'!A1", "Retour sommaire")</f>
        <v>Retour sommaire</v>
      </c>
      <c r="F1" s="609"/>
      <c r="G1" s="609"/>
    </row>
    <row r="2" spans="1:7" x14ac:dyDescent="0.2">
      <c r="E2" s="609"/>
      <c r="F2" s="609"/>
      <c r="G2" s="609"/>
    </row>
    <row r="3" spans="1:7" x14ac:dyDescent="0.2">
      <c r="A3" s="619" t="s">
        <v>593</v>
      </c>
      <c r="B3" s="609"/>
      <c r="C3" s="609"/>
    </row>
    <row r="4" spans="1:7" ht="38.25" x14ac:dyDescent="0.2">
      <c r="A4" s="4" t="s">
        <v>645</v>
      </c>
      <c r="B4" s="4" t="s">
        <v>466</v>
      </c>
      <c r="C4" s="4" t="s">
        <v>467</v>
      </c>
    </row>
    <row r="5" spans="1:7" ht="25.5" x14ac:dyDescent="0.2">
      <c r="A5" s="17" t="s">
        <v>662</v>
      </c>
      <c r="B5" s="400">
        <v>114</v>
      </c>
      <c r="C5" s="402">
        <v>5</v>
      </c>
    </row>
    <row r="6" spans="1:7" ht="25.5" x14ac:dyDescent="0.2">
      <c r="A6" s="17" t="s">
        <v>663</v>
      </c>
      <c r="B6" s="400">
        <v>227</v>
      </c>
      <c r="C6" s="402">
        <v>16</v>
      </c>
    </row>
    <row r="7" spans="1:7" x14ac:dyDescent="0.2">
      <c r="A7" s="17" t="s">
        <v>571</v>
      </c>
      <c r="B7" s="400">
        <v>24</v>
      </c>
      <c r="C7" s="402">
        <v>0</v>
      </c>
    </row>
    <row r="8" spans="1:7" x14ac:dyDescent="0.2">
      <c r="A8" s="6" t="s">
        <v>628</v>
      </c>
      <c r="B8" s="399">
        <v>365</v>
      </c>
      <c r="C8" s="401">
        <v>21</v>
      </c>
    </row>
    <row r="9" spans="1:7" x14ac:dyDescent="0.2">
      <c r="A9" s="608" t="s">
        <v>473</v>
      </c>
      <c r="B9" s="609"/>
      <c r="C9" s="609"/>
    </row>
    <row r="10" spans="1:7" ht="30" customHeight="1" x14ac:dyDescent="0.2">
      <c r="A10" s="608" t="s">
        <v>474</v>
      </c>
      <c r="B10" s="609"/>
      <c r="C10" s="609"/>
    </row>
    <row r="11" spans="1:7" x14ac:dyDescent="0.2">
      <c r="A11" s="608" t="s">
        <v>45</v>
      </c>
      <c r="B11" s="609"/>
      <c r="C11" s="609"/>
    </row>
    <row r="12" spans="1:7" ht="30" customHeight="1" x14ac:dyDescent="0.2">
      <c r="A12" s="608" t="s">
        <v>664</v>
      </c>
      <c r="B12" s="609"/>
      <c r="C12" s="609"/>
    </row>
    <row r="13" spans="1:7" x14ac:dyDescent="0.2">
      <c r="A13" s="610" t="s">
        <v>430</v>
      </c>
      <c r="B13" s="609"/>
      <c r="C13" s="609"/>
    </row>
  </sheetData>
  <mergeCells count="8">
    <mergeCell ref="A11:C11"/>
    <mergeCell ref="A12:C12"/>
    <mergeCell ref="A13:C13"/>
    <mergeCell ref="E1:G2"/>
    <mergeCell ref="A1:C1"/>
    <mergeCell ref="A3:C3"/>
    <mergeCell ref="A9:C9"/>
    <mergeCell ref="A10:C10"/>
  </mergeCells>
  <pageMargins left="0.6" right="0.79" top="0.79" bottom="1.06" header="0.3" footer="0.3"/>
  <pageSetup paperSize="9" fitToWidth="0" fitToHeight="0" orientation="portrait" horizontalDpi="300" verticalDpi="30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sqref="A1:E1"/>
    </sheetView>
  </sheetViews>
  <sheetFormatPr baseColWidth="10" defaultColWidth="9.140625" defaultRowHeight="12.75" x14ac:dyDescent="0.2"/>
  <cols>
    <col min="1" max="1" width="23.7109375" customWidth="1"/>
    <col min="2" max="5" width="15.7109375" customWidth="1"/>
  </cols>
  <sheetData>
    <row r="1" spans="1:9" ht="15" customHeight="1" x14ac:dyDescent="0.2">
      <c r="A1" s="612" t="s">
        <v>665</v>
      </c>
      <c r="B1" s="609"/>
      <c r="C1" s="609"/>
      <c r="D1" s="609"/>
      <c r="E1" s="609"/>
      <c r="G1" s="611" t="str">
        <f>HYPERLINK("#'sommaire'!A1", "Retour sommaire")</f>
        <v>Retour sommaire</v>
      </c>
      <c r="H1" s="609"/>
      <c r="I1" s="609"/>
    </row>
    <row r="2" spans="1:9" x14ac:dyDescent="0.2">
      <c r="G2" s="609"/>
      <c r="H2" s="609"/>
      <c r="I2" s="609"/>
    </row>
    <row r="3" spans="1:9" x14ac:dyDescent="0.2">
      <c r="A3" s="619" t="s">
        <v>593</v>
      </c>
      <c r="B3" s="609"/>
      <c r="C3" s="609"/>
      <c r="D3" s="609"/>
      <c r="E3" s="609"/>
    </row>
    <row r="4" spans="1:9" ht="63.75" x14ac:dyDescent="0.2">
      <c r="A4" s="4" t="s">
        <v>666</v>
      </c>
      <c r="B4" s="4" t="s">
        <v>466</v>
      </c>
      <c r="C4" s="4" t="s">
        <v>467</v>
      </c>
      <c r="D4" s="4" t="s">
        <v>71</v>
      </c>
      <c r="E4" s="4" t="s">
        <v>72</v>
      </c>
    </row>
    <row r="5" spans="1:9" x14ac:dyDescent="0.2">
      <c r="A5" s="623" t="s">
        <v>667</v>
      </c>
      <c r="B5" s="624" t="s">
        <v>172</v>
      </c>
      <c r="C5" s="624" t="s">
        <v>172</v>
      </c>
      <c r="D5" s="624" t="s">
        <v>172</v>
      </c>
      <c r="E5" s="624" t="s">
        <v>172</v>
      </c>
    </row>
    <row r="6" spans="1:9" x14ac:dyDescent="0.2">
      <c r="A6" s="17" t="s">
        <v>668</v>
      </c>
      <c r="B6" s="404">
        <v>49</v>
      </c>
      <c r="C6" s="406">
        <v>4</v>
      </c>
      <c r="D6" s="408">
        <v>7</v>
      </c>
      <c r="E6" s="410">
        <v>6</v>
      </c>
    </row>
    <row r="7" spans="1:9" x14ac:dyDescent="0.2">
      <c r="A7" s="17" t="s">
        <v>669</v>
      </c>
      <c r="B7" s="404">
        <v>98</v>
      </c>
      <c r="C7" s="406">
        <v>6</v>
      </c>
      <c r="D7" s="408">
        <v>4</v>
      </c>
      <c r="E7" s="410">
        <v>1</v>
      </c>
    </row>
    <row r="8" spans="1:9" x14ac:dyDescent="0.2">
      <c r="A8" s="17" t="s">
        <v>670</v>
      </c>
      <c r="B8" s="404">
        <v>0</v>
      </c>
      <c r="C8" s="406">
        <v>0</v>
      </c>
      <c r="D8" s="408">
        <v>0</v>
      </c>
      <c r="E8" s="410">
        <v>12</v>
      </c>
    </row>
    <row r="9" spans="1:9" x14ac:dyDescent="0.2">
      <c r="A9" s="17" t="s">
        <v>562</v>
      </c>
      <c r="B9" s="404">
        <v>20</v>
      </c>
      <c r="C9" s="406">
        <v>0</v>
      </c>
      <c r="D9" s="408">
        <v>0</v>
      </c>
      <c r="E9" s="410">
        <v>0</v>
      </c>
    </row>
    <row r="10" spans="1:9" x14ac:dyDescent="0.2">
      <c r="A10" s="17" t="s">
        <v>603</v>
      </c>
      <c r="B10" s="404">
        <v>221</v>
      </c>
      <c r="C10" s="406">
        <v>17</v>
      </c>
      <c r="D10" s="408">
        <v>189</v>
      </c>
      <c r="E10" s="410">
        <v>10</v>
      </c>
    </row>
    <row r="11" spans="1:9" x14ac:dyDescent="0.2">
      <c r="A11" s="623" t="s">
        <v>671</v>
      </c>
      <c r="B11" s="624" t="s">
        <v>172</v>
      </c>
      <c r="C11" s="624" t="s">
        <v>172</v>
      </c>
      <c r="D11" s="624" t="s">
        <v>172</v>
      </c>
      <c r="E11" s="624" t="s">
        <v>172</v>
      </c>
    </row>
    <row r="12" spans="1:9" x14ac:dyDescent="0.2">
      <c r="A12" s="17" t="s">
        <v>672</v>
      </c>
      <c r="B12" s="404">
        <v>88</v>
      </c>
      <c r="C12" s="406">
        <v>3</v>
      </c>
      <c r="D12" s="408">
        <v>6</v>
      </c>
      <c r="E12" s="410">
        <v>1</v>
      </c>
    </row>
    <row r="13" spans="1:9" x14ac:dyDescent="0.2">
      <c r="A13" s="17" t="s">
        <v>673</v>
      </c>
      <c r="B13" s="404">
        <v>32</v>
      </c>
      <c r="C13" s="406">
        <v>3</v>
      </c>
      <c r="D13" s="408">
        <v>2</v>
      </c>
      <c r="E13" s="410">
        <v>6</v>
      </c>
    </row>
    <row r="14" spans="1:9" ht="25.5" x14ac:dyDescent="0.2">
      <c r="A14" s="17" t="s">
        <v>674</v>
      </c>
      <c r="B14" s="404">
        <v>76</v>
      </c>
      <c r="C14" s="406">
        <v>5</v>
      </c>
      <c r="D14" s="408">
        <v>4</v>
      </c>
      <c r="E14" s="410">
        <v>4</v>
      </c>
    </row>
    <row r="15" spans="1:9" x14ac:dyDescent="0.2">
      <c r="A15" s="17" t="s">
        <v>675</v>
      </c>
      <c r="B15" s="404">
        <v>3</v>
      </c>
      <c r="C15" s="406">
        <v>0</v>
      </c>
      <c r="D15" s="408">
        <v>3</v>
      </c>
      <c r="E15" s="410">
        <v>15</v>
      </c>
    </row>
    <row r="16" spans="1:9" x14ac:dyDescent="0.2">
      <c r="A16" s="17" t="s">
        <v>676</v>
      </c>
      <c r="B16" s="404">
        <v>2</v>
      </c>
      <c r="C16" s="406">
        <v>1</v>
      </c>
      <c r="D16" s="408">
        <v>0</v>
      </c>
      <c r="E16" s="410">
        <v>0</v>
      </c>
    </row>
    <row r="17" spans="1:5" ht="25.5" x14ac:dyDescent="0.2">
      <c r="A17" s="17" t="s">
        <v>677</v>
      </c>
      <c r="B17" s="404">
        <v>19</v>
      </c>
      <c r="C17" s="406">
        <v>2</v>
      </c>
      <c r="D17" s="408">
        <v>189</v>
      </c>
      <c r="E17" s="410">
        <v>5</v>
      </c>
    </row>
    <row r="18" spans="1:5" x14ac:dyDescent="0.2">
      <c r="A18" s="6" t="s">
        <v>75</v>
      </c>
      <c r="B18" s="403">
        <v>365</v>
      </c>
      <c r="C18" s="405">
        <v>21</v>
      </c>
      <c r="D18" s="407">
        <v>211</v>
      </c>
      <c r="E18" s="409">
        <v>28</v>
      </c>
    </row>
    <row r="19" spans="1:5" x14ac:dyDescent="0.2">
      <c r="A19" s="608" t="s">
        <v>473</v>
      </c>
      <c r="B19" s="609"/>
      <c r="C19" s="609"/>
      <c r="D19" s="609"/>
      <c r="E19" s="609"/>
    </row>
    <row r="20" spans="1:5" x14ac:dyDescent="0.2">
      <c r="A20" s="608" t="s">
        <v>474</v>
      </c>
      <c r="B20" s="609"/>
      <c r="C20" s="609"/>
      <c r="D20" s="609"/>
      <c r="E20" s="609"/>
    </row>
    <row r="21" spans="1:5" x14ac:dyDescent="0.2">
      <c r="A21" s="608" t="s">
        <v>45</v>
      </c>
      <c r="B21" s="609"/>
      <c r="C21" s="609"/>
      <c r="D21" s="609"/>
      <c r="E21" s="609"/>
    </row>
    <row r="22" spans="1:5" ht="32.25" customHeight="1" x14ac:dyDescent="0.2">
      <c r="A22" s="608" t="s">
        <v>678</v>
      </c>
      <c r="B22" s="609"/>
      <c r="C22" s="609"/>
      <c r="D22" s="609"/>
      <c r="E22" s="609"/>
    </row>
    <row r="23" spans="1:5" x14ac:dyDescent="0.2">
      <c r="A23" s="610" t="s">
        <v>430</v>
      </c>
      <c r="B23" s="609"/>
      <c r="C23" s="609"/>
      <c r="D23" s="609"/>
      <c r="E23" s="609"/>
    </row>
  </sheetData>
  <mergeCells count="10">
    <mergeCell ref="G1:I2"/>
    <mergeCell ref="A1:E1"/>
    <mergeCell ref="A3:E3"/>
    <mergeCell ref="A19:E19"/>
    <mergeCell ref="A20:E20"/>
    <mergeCell ref="A21:E21"/>
    <mergeCell ref="A22:E22"/>
    <mergeCell ref="A23:E23"/>
    <mergeCell ref="A5:E5"/>
    <mergeCell ref="A11:E11"/>
  </mergeCells>
  <pageMargins left="0.6" right="0.79" top="0.79" bottom="1.06" header="0.3" footer="0.3"/>
  <pageSetup paperSize="9" fitToWidth="0" fitToHeight="0" orientation="portrait" horizontalDpi="300" verticalDpi="30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sqref="A1:D1"/>
    </sheetView>
  </sheetViews>
  <sheetFormatPr baseColWidth="10" defaultColWidth="9.140625" defaultRowHeight="12.75" x14ac:dyDescent="0.2"/>
  <cols>
    <col min="1" max="4" width="20.7109375" customWidth="1"/>
  </cols>
  <sheetData>
    <row r="1" spans="1:8" ht="15" customHeight="1" x14ac:dyDescent="0.2">
      <c r="A1" s="612" t="s">
        <v>13</v>
      </c>
      <c r="B1" s="609"/>
      <c r="C1" s="609"/>
      <c r="D1" s="609"/>
      <c r="F1" s="611" t="str">
        <f>HYPERLINK("#'sommaire'!A1", "Retour sommaire")</f>
        <v>Retour sommaire</v>
      </c>
      <c r="G1" s="609"/>
      <c r="H1" s="609"/>
    </row>
    <row r="2" spans="1:8" x14ac:dyDescent="0.2">
      <c r="F2" s="609"/>
      <c r="G2" s="609"/>
      <c r="H2" s="609"/>
    </row>
    <row r="3" spans="1:8" x14ac:dyDescent="0.2">
      <c r="A3" s="619" t="s">
        <v>679</v>
      </c>
      <c r="B3" s="609"/>
      <c r="C3" s="609"/>
      <c r="D3" s="609"/>
    </row>
    <row r="4" spans="1:8" ht="25.5" x14ac:dyDescent="0.2">
      <c r="A4" s="4" t="s">
        <v>680</v>
      </c>
      <c r="B4" s="4" t="s">
        <v>681</v>
      </c>
      <c r="C4" s="4" t="s">
        <v>682</v>
      </c>
      <c r="D4" s="4" t="s">
        <v>683</v>
      </c>
    </row>
    <row r="5" spans="1:8" x14ac:dyDescent="0.2">
      <c r="A5" s="614" t="s">
        <v>684</v>
      </c>
      <c r="B5" s="618" t="s">
        <v>685</v>
      </c>
      <c r="C5" s="412" t="s">
        <v>686</v>
      </c>
      <c r="D5" s="414">
        <v>2</v>
      </c>
    </row>
    <row r="6" spans="1:8" x14ac:dyDescent="0.2">
      <c r="A6" s="614" t="s">
        <v>684</v>
      </c>
      <c r="B6" s="618" t="s">
        <v>685</v>
      </c>
      <c r="C6" s="412" t="s">
        <v>687</v>
      </c>
      <c r="D6" s="414">
        <v>1</v>
      </c>
    </row>
    <row r="7" spans="1:8" x14ac:dyDescent="0.2">
      <c r="A7" s="614" t="s">
        <v>684</v>
      </c>
      <c r="B7" s="618" t="s">
        <v>688</v>
      </c>
      <c r="C7" s="412" t="s">
        <v>689</v>
      </c>
      <c r="D7" s="414">
        <v>1</v>
      </c>
    </row>
    <row r="8" spans="1:8" x14ac:dyDescent="0.2">
      <c r="A8" s="614" t="s">
        <v>684</v>
      </c>
      <c r="B8" s="618" t="s">
        <v>688</v>
      </c>
      <c r="C8" s="412" t="s">
        <v>686</v>
      </c>
      <c r="D8" s="414">
        <v>4</v>
      </c>
    </row>
    <row r="9" spans="1:8" x14ac:dyDescent="0.2">
      <c r="A9" s="614" t="s">
        <v>684</v>
      </c>
      <c r="B9" s="618" t="s">
        <v>688</v>
      </c>
      <c r="C9" s="412" t="s">
        <v>687</v>
      </c>
      <c r="D9" s="414">
        <v>4</v>
      </c>
    </row>
    <row r="10" spans="1:8" x14ac:dyDescent="0.2">
      <c r="A10" s="614" t="s">
        <v>690</v>
      </c>
      <c r="B10" s="411" t="s">
        <v>685</v>
      </c>
      <c r="C10" s="412" t="s">
        <v>686</v>
      </c>
      <c r="D10" s="414">
        <v>1</v>
      </c>
    </row>
    <row r="11" spans="1:8" x14ac:dyDescent="0.2">
      <c r="A11" s="614" t="s">
        <v>690</v>
      </c>
      <c r="B11" s="618" t="s">
        <v>688</v>
      </c>
      <c r="C11" s="412" t="s">
        <v>691</v>
      </c>
      <c r="D11" s="414">
        <v>2</v>
      </c>
    </row>
    <row r="12" spans="1:8" x14ac:dyDescent="0.2">
      <c r="A12" s="614" t="s">
        <v>690</v>
      </c>
      <c r="B12" s="618" t="s">
        <v>688</v>
      </c>
      <c r="C12" s="412" t="s">
        <v>689</v>
      </c>
      <c r="D12" s="414">
        <v>1</v>
      </c>
    </row>
    <row r="13" spans="1:8" x14ac:dyDescent="0.2">
      <c r="A13" s="614" t="s">
        <v>690</v>
      </c>
      <c r="B13" s="618" t="s">
        <v>688</v>
      </c>
      <c r="C13" s="412" t="s">
        <v>692</v>
      </c>
      <c r="D13" s="414">
        <v>3</v>
      </c>
    </row>
    <row r="14" spans="1:8" x14ac:dyDescent="0.2">
      <c r="A14" s="614" t="s">
        <v>690</v>
      </c>
      <c r="B14" s="618" t="s">
        <v>688</v>
      </c>
      <c r="C14" s="412" t="s">
        <v>686</v>
      </c>
      <c r="D14" s="414">
        <v>3</v>
      </c>
    </row>
    <row r="15" spans="1:8" x14ac:dyDescent="0.2">
      <c r="A15" s="17" t="s">
        <v>693</v>
      </c>
      <c r="B15" s="411" t="s">
        <v>688</v>
      </c>
      <c r="C15" s="412" t="s">
        <v>691</v>
      </c>
      <c r="D15" s="414">
        <v>1</v>
      </c>
    </row>
    <row r="16" spans="1:8" x14ac:dyDescent="0.2">
      <c r="A16" s="664" t="s">
        <v>75</v>
      </c>
      <c r="B16" s="665"/>
      <c r="C16" s="665"/>
      <c r="D16" s="413">
        <v>23</v>
      </c>
    </row>
    <row r="17" spans="1:4" x14ac:dyDescent="0.2">
      <c r="A17" s="610" t="s">
        <v>430</v>
      </c>
      <c r="B17" s="609"/>
      <c r="C17" s="609"/>
      <c r="D17" s="609"/>
    </row>
  </sheetData>
  <mergeCells count="10">
    <mergeCell ref="F1:H2"/>
    <mergeCell ref="A1:D1"/>
    <mergeCell ref="A3:D3"/>
    <mergeCell ref="A17:D17"/>
    <mergeCell ref="A5:A9"/>
    <mergeCell ref="A10:A14"/>
    <mergeCell ref="B5:B6"/>
    <mergeCell ref="B7:B9"/>
    <mergeCell ref="B11:B14"/>
    <mergeCell ref="A16:C16"/>
  </mergeCells>
  <pageMargins left="0.6" right="0.79" top="0.79" bottom="1.06" header="0.3" footer="0.3"/>
  <pageSetup paperSize="9" fitToWidth="0" fitToHeight="0" orientation="portrait" horizontalDpi="300" verticalDpi="30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sqref="A1:E1"/>
    </sheetView>
  </sheetViews>
  <sheetFormatPr baseColWidth="10" defaultColWidth="9.140625" defaultRowHeight="12.75" x14ac:dyDescent="0.2"/>
  <cols>
    <col min="1" max="1" width="23.7109375" customWidth="1"/>
    <col min="2" max="5" width="15.7109375" customWidth="1"/>
  </cols>
  <sheetData>
    <row r="1" spans="1:9" ht="15" customHeight="1" x14ac:dyDescent="0.2">
      <c r="A1" s="612" t="s">
        <v>694</v>
      </c>
      <c r="B1" s="609"/>
      <c r="C1" s="609"/>
      <c r="D1" s="609"/>
      <c r="E1" s="609"/>
      <c r="G1" s="611" t="str">
        <f>HYPERLINK("#'sommaire'!A1", "Retour sommaire")</f>
        <v>Retour sommaire</v>
      </c>
      <c r="H1" s="609"/>
      <c r="I1" s="609"/>
    </row>
    <row r="2" spans="1:9" x14ac:dyDescent="0.2">
      <c r="G2" s="609"/>
      <c r="H2" s="609"/>
      <c r="I2" s="609"/>
    </row>
    <row r="3" spans="1:9" x14ac:dyDescent="0.2">
      <c r="A3" s="619" t="s">
        <v>593</v>
      </c>
      <c r="B3" s="609"/>
      <c r="C3" s="609"/>
      <c r="D3" s="609"/>
      <c r="E3" s="609"/>
    </row>
    <row r="4" spans="1:9" ht="63.75" x14ac:dyDescent="0.2">
      <c r="A4" s="4" t="s">
        <v>645</v>
      </c>
      <c r="B4" s="4" t="s">
        <v>466</v>
      </c>
      <c r="C4" s="4" t="s">
        <v>467</v>
      </c>
      <c r="D4" s="4" t="s">
        <v>71</v>
      </c>
      <c r="E4" s="4" t="s">
        <v>72</v>
      </c>
    </row>
    <row r="5" spans="1:9" x14ac:dyDescent="0.2">
      <c r="A5" s="17" t="s">
        <v>695</v>
      </c>
      <c r="B5" s="416">
        <v>29</v>
      </c>
      <c r="C5" s="418">
        <v>0</v>
      </c>
      <c r="D5" s="420">
        <v>0</v>
      </c>
      <c r="E5" s="422">
        <v>5</v>
      </c>
    </row>
    <row r="6" spans="1:9" ht="25.5" x14ac:dyDescent="0.2">
      <c r="A6" s="17" t="s">
        <v>696</v>
      </c>
      <c r="B6" s="416">
        <v>2</v>
      </c>
      <c r="C6" s="418">
        <v>1</v>
      </c>
      <c r="D6" s="420">
        <v>4</v>
      </c>
      <c r="E6" s="422">
        <v>3</v>
      </c>
    </row>
    <row r="7" spans="1:9" x14ac:dyDescent="0.2">
      <c r="A7" s="6" t="s">
        <v>628</v>
      </c>
      <c r="B7" s="415">
        <v>365</v>
      </c>
      <c r="C7" s="417">
        <v>21</v>
      </c>
      <c r="D7" s="419">
        <v>211</v>
      </c>
      <c r="E7" s="421">
        <v>28</v>
      </c>
    </row>
    <row r="8" spans="1:9" x14ac:dyDescent="0.2">
      <c r="A8" s="608" t="s">
        <v>473</v>
      </c>
      <c r="B8" s="609"/>
      <c r="C8" s="609"/>
      <c r="D8" s="609"/>
      <c r="E8" s="609"/>
    </row>
    <row r="9" spans="1:9" x14ac:dyDescent="0.2">
      <c r="A9" s="608" t="s">
        <v>474</v>
      </c>
      <c r="B9" s="609"/>
      <c r="C9" s="609"/>
      <c r="D9" s="609"/>
      <c r="E9" s="609"/>
    </row>
    <row r="10" spans="1:9" x14ac:dyDescent="0.2">
      <c r="A10" s="608" t="s">
        <v>45</v>
      </c>
      <c r="B10" s="609"/>
      <c r="C10" s="609"/>
      <c r="D10" s="609"/>
      <c r="E10" s="609"/>
    </row>
    <row r="11" spans="1:9" x14ac:dyDescent="0.2">
      <c r="A11" s="608" t="s">
        <v>697</v>
      </c>
      <c r="B11" s="609"/>
      <c r="C11" s="609"/>
      <c r="D11" s="609"/>
      <c r="E11" s="609"/>
    </row>
    <row r="12" spans="1:9" x14ac:dyDescent="0.2">
      <c r="A12" s="610" t="s">
        <v>430</v>
      </c>
      <c r="B12" s="609"/>
      <c r="C12" s="609"/>
      <c r="D12" s="609"/>
      <c r="E12" s="609"/>
    </row>
  </sheetData>
  <mergeCells count="8">
    <mergeCell ref="A10:E10"/>
    <mergeCell ref="A11:E11"/>
    <mergeCell ref="A12:E12"/>
    <mergeCell ref="G1:I2"/>
    <mergeCell ref="A1:E1"/>
    <mergeCell ref="A3:E3"/>
    <mergeCell ref="A8:E8"/>
    <mergeCell ref="A9:E9"/>
  </mergeCells>
  <pageMargins left="0.6" right="0.79" top="0.79" bottom="1.06" header="0.3" footer="0.3"/>
  <pageSetup paperSize="9" fitToWidth="0" fitToHeight="0" orientation="portrait" horizontalDpi="300" verticalDpi="30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1" sqref="I1:K2"/>
    </sheetView>
  </sheetViews>
  <sheetFormatPr baseColWidth="10" defaultColWidth="9.140625" defaultRowHeight="12.75" x14ac:dyDescent="0.2"/>
  <cols>
    <col min="1" max="1" width="12.7109375" customWidth="1"/>
    <col min="2" max="3" width="11.7109375" customWidth="1"/>
    <col min="4" max="4" width="10.7109375" customWidth="1"/>
    <col min="5" max="5" width="14.7109375" customWidth="1"/>
    <col min="6" max="6" width="10.7109375" customWidth="1"/>
    <col min="7" max="7" width="11.7109375" customWidth="1"/>
  </cols>
  <sheetData>
    <row r="1" spans="1:11" ht="15" customHeight="1" x14ac:dyDescent="0.2">
      <c r="A1" s="612" t="s">
        <v>698</v>
      </c>
      <c r="B1" s="609"/>
      <c r="C1" s="609"/>
      <c r="D1" s="609"/>
      <c r="E1" s="609"/>
      <c r="F1" s="609"/>
      <c r="G1" s="609"/>
      <c r="I1" s="611" t="str">
        <f>HYPERLINK("#'sommaire'!A1", "Retour sommaire")</f>
        <v>Retour sommaire</v>
      </c>
      <c r="J1" s="609"/>
      <c r="K1" s="609"/>
    </row>
    <row r="2" spans="1:11" x14ac:dyDescent="0.2">
      <c r="I2" s="609"/>
      <c r="J2" s="609"/>
      <c r="K2" s="609"/>
    </row>
    <row r="3" spans="1:11" x14ac:dyDescent="0.2">
      <c r="A3" s="619" t="s">
        <v>500</v>
      </c>
      <c r="B3" s="609"/>
      <c r="C3" s="609"/>
      <c r="D3" s="609"/>
      <c r="E3" s="609"/>
      <c r="F3" s="609"/>
      <c r="G3" s="609"/>
    </row>
    <row r="4" spans="1:11" ht="38.25" x14ac:dyDescent="0.2">
      <c r="A4" s="4" t="s">
        <v>699</v>
      </c>
      <c r="B4" s="4" t="s">
        <v>477</v>
      </c>
      <c r="C4" s="4" t="s">
        <v>700</v>
      </c>
      <c r="D4" s="4" t="s">
        <v>435</v>
      </c>
      <c r="E4" s="4" t="s">
        <v>491</v>
      </c>
      <c r="F4" s="4" t="s">
        <v>65</v>
      </c>
      <c r="G4" s="4" t="s">
        <v>38</v>
      </c>
    </row>
    <row r="5" spans="1:11" ht="25.5" x14ac:dyDescent="0.2">
      <c r="A5" s="17" t="s">
        <v>293</v>
      </c>
      <c r="B5" s="423">
        <v>1517.5249200000001</v>
      </c>
      <c r="C5" s="424"/>
      <c r="D5" s="425">
        <v>21.901</v>
      </c>
      <c r="E5" s="426">
        <v>14.653700000000001</v>
      </c>
      <c r="F5" s="427" t="s">
        <v>74</v>
      </c>
      <c r="G5" s="428">
        <v>101.057</v>
      </c>
    </row>
    <row r="6" spans="1:11" ht="25.5" x14ac:dyDescent="0.2">
      <c r="A6" s="17" t="s">
        <v>701</v>
      </c>
      <c r="B6" s="423"/>
      <c r="C6" s="424"/>
      <c r="D6" s="425">
        <v>43.441000000000003</v>
      </c>
      <c r="E6" s="426"/>
      <c r="F6" s="427"/>
      <c r="G6" s="428"/>
    </row>
    <row r="7" spans="1:11" x14ac:dyDescent="0.2">
      <c r="A7" s="17" t="s">
        <v>702</v>
      </c>
      <c r="B7" s="423"/>
      <c r="C7" s="424"/>
      <c r="D7" s="425"/>
      <c r="E7" s="426"/>
      <c r="F7" s="427"/>
      <c r="G7" s="428">
        <v>252.19900000000001</v>
      </c>
    </row>
    <row r="8" spans="1:11" ht="63.75" x14ac:dyDescent="0.2">
      <c r="A8" s="17" t="s">
        <v>703</v>
      </c>
      <c r="B8" s="423">
        <v>13571.10052</v>
      </c>
      <c r="C8" s="424" t="s">
        <v>74</v>
      </c>
      <c r="D8" s="425">
        <v>108.74299999999999</v>
      </c>
      <c r="E8" s="426">
        <v>47.2851</v>
      </c>
      <c r="F8" s="427"/>
      <c r="G8" s="428">
        <v>2231.913</v>
      </c>
    </row>
    <row r="9" spans="1:11" ht="76.5" x14ac:dyDescent="0.2">
      <c r="A9" s="17" t="s">
        <v>704</v>
      </c>
      <c r="B9" s="423">
        <v>2851.6945000000001</v>
      </c>
      <c r="C9" s="424"/>
      <c r="D9" s="425">
        <v>20.254999999999999</v>
      </c>
      <c r="E9" s="426" t="s">
        <v>74</v>
      </c>
      <c r="F9" s="427" t="s">
        <v>74</v>
      </c>
      <c r="G9" s="428" t="s">
        <v>74</v>
      </c>
    </row>
    <row r="10" spans="1:11" ht="38.25" x14ac:dyDescent="0.2">
      <c r="A10" s="17" t="s">
        <v>705</v>
      </c>
      <c r="B10" s="423">
        <v>2405.6999999999998</v>
      </c>
      <c r="C10" s="424"/>
      <c r="D10" s="425">
        <v>546.37699999999995</v>
      </c>
      <c r="E10" s="426">
        <v>6.524</v>
      </c>
      <c r="F10" s="427" t="s">
        <v>74</v>
      </c>
      <c r="G10" s="428">
        <v>1766.7909999999999</v>
      </c>
    </row>
    <row r="11" spans="1:11" x14ac:dyDescent="0.2">
      <c r="A11" s="608" t="s">
        <v>706</v>
      </c>
      <c r="B11" s="609"/>
      <c r="C11" s="609"/>
      <c r="D11" s="609"/>
      <c r="E11" s="609"/>
      <c r="F11" s="609"/>
      <c r="G11" s="609"/>
    </row>
    <row r="12" spans="1:11" x14ac:dyDescent="0.2">
      <c r="A12" s="608" t="s">
        <v>45</v>
      </c>
      <c r="B12" s="609"/>
      <c r="C12" s="609"/>
      <c r="D12" s="609"/>
      <c r="E12" s="609"/>
      <c r="F12" s="609"/>
      <c r="G12" s="609"/>
    </row>
    <row r="13" spans="1:11" x14ac:dyDescent="0.2">
      <c r="A13" s="608" t="s">
        <v>297</v>
      </c>
      <c r="B13" s="609"/>
      <c r="C13" s="609"/>
      <c r="D13" s="609"/>
      <c r="E13" s="609"/>
      <c r="F13" s="609"/>
      <c r="G13" s="609"/>
    </row>
    <row r="14" spans="1:11" x14ac:dyDescent="0.2">
      <c r="A14" s="608" t="s">
        <v>923</v>
      </c>
      <c r="B14" s="609"/>
      <c r="C14" s="609"/>
      <c r="D14" s="609"/>
      <c r="E14" s="609"/>
      <c r="F14" s="609"/>
      <c r="G14" s="609"/>
    </row>
    <row r="15" spans="1:11" x14ac:dyDescent="0.2">
      <c r="A15" s="608" t="s">
        <v>299</v>
      </c>
      <c r="B15" s="609"/>
      <c r="C15" s="609"/>
      <c r="D15" s="609"/>
      <c r="E15" s="609"/>
      <c r="F15" s="609"/>
      <c r="G15" s="609"/>
    </row>
    <row r="16" spans="1:11" x14ac:dyDescent="0.2">
      <c r="A16" s="608" t="s">
        <v>707</v>
      </c>
      <c r="B16" s="609"/>
      <c r="C16" s="609"/>
      <c r="D16" s="609"/>
      <c r="E16" s="609"/>
      <c r="F16" s="609"/>
      <c r="G16" s="609"/>
    </row>
    <row r="17" spans="1:7" ht="27" customHeight="1" x14ac:dyDescent="0.2">
      <c r="A17" s="608" t="s">
        <v>301</v>
      </c>
      <c r="B17" s="609"/>
      <c r="C17" s="609"/>
      <c r="D17" s="609"/>
      <c r="E17" s="609"/>
      <c r="F17" s="609"/>
      <c r="G17" s="609"/>
    </row>
    <row r="18" spans="1:7" ht="25.5" customHeight="1" x14ac:dyDescent="0.2">
      <c r="A18" s="608" t="s">
        <v>302</v>
      </c>
      <c r="B18" s="609"/>
      <c r="C18" s="609"/>
      <c r="D18" s="609"/>
      <c r="E18" s="609"/>
      <c r="F18" s="609"/>
      <c r="G18" s="609"/>
    </row>
    <row r="19" spans="1:7" x14ac:dyDescent="0.2">
      <c r="A19" s="608" t="s">
        <v>45</v>
      </c>
      <c r="B19" s="609"/>
      <c r="C19" s="609"/>
      <c r="D19" s="609"/>
      <c r="E19" s="609"/>
      <c r="F19" s="609"/>
      <c r="G19" s="609"/>
    </row>
    <row r="20" spans="1:7" x14ac:dyDescent="0.2">
      <c r="A20" s="608" t="s">
        <v>708</v>
      </c>
      <c r="B20" s="609"/>
      <c r="C20" s="609"/>
      <c r="D20" s="609"/>
      <c r="E20" s="609"/>
      <c r="F20" s="609"/>
      <c r="G20" s="609"/>
    </row>
    <row r="21" spans="1:7" x14ac:dyDescent="0.2">
      <c r="A21" s="608" t="s">
        <v>45</v>
      </c>
      <c r="B21" s="609"/>
      <c r="C21" s="609"/>
      <c r="D21" s="609"/>
      <c r="E21" s="609"/>
      <c r="F21" s="609"/>
      <c r="G21" s="609"/>
    </row>
    <row r="22" spans="1:7" x14ac:dyDescent="0.2">
      <c r="A22" s="610" t="s">
        <v>430</v>
      </c>
      <c r="B22" s="609"/>
      <c r="C22" s="609"/>
      <c r="D22" s="609"/>
      <c r="E22" s="609"/>
      <c r="F22" s="609"/>
      <c r="G22" s="609"/>
    </row>
  </sheetData>
  <mergeCells count="15">
    <mergeCell ref="I1:K2"/>
    <mergeCell ref="A1:G1"/>
    <mergeCell ref="A3:G3"/>
    <mergeCell ref="A11:G11"/>
    <mergeCell ref="A12:G12"/>
    <mergeCell ref="A13:G13"/>
    <mergeCell ref="A14:G14"/>
    <mergeCell ref="A15:G15"/>
    <mergeCell ref="A16:G16"/>
    <mergeCell ref="A17:G17"/>
    <mergeCell ref="A18:G18"/>
    <mergeCell ref="A19:G19"/>
    <mergeCell ref="A20:G20"/>
    <mergeCell ref="A21:G21"/>
    <mergeCell ref="A22:G22"/>
  </mergeCells>
  <pageMargins left="0.6" right="0.79" top="0.79" bottom="1.06" header="0.3" footer="0.3"/>
  <pageSetup paperSize="9" fitToWidth="0" fitToHeight="0" orientation="portrait" horizontalDpi="300" verticalDpi="30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G1" sqref="G1:I2"/>
    </sheetView>
  </sheetViews>
  <sheetFormatPr baseColWidth="10" defaultColWidth="9.140625" defaultRowHeight="12.75" x14ac:dyDescent="0.2"/>
  <cols>
    <col min="1" max="1" width="21.7109375" customWidth="1"/>
    <col min="2" max="2" width="30.7109375" customWidth="1"/>
    <col min="3" max="3" width="10.7109375" customWidth="1"/>
    <col min="4" max="4" width="12.7109375" customWidth="1"/>
    <col min="5" max="5" width="10.7109375" customWidth="1"/>
  </cols>
  <sheetData>
    <row r="1" spans="1:9" ht="15" customHeight="1" x14ac:dyDescent="0.2">
      <c r="A1" s="612" t="s">
        <v>709</v>
      </c>
      <c r="B1" s="609"/>
      <c r="C1" s="609"/>
      <c r="D1" s="609"/>
      <c r="E1" s="609"/>
      <c r="G1" s="611" t="str">
        <f>HYPERLINK("#'sommaire'!A1", "Retour sommaire")</f>
        <v>Retour sommaire</v>
      </c>
      <c r="H1" s="609"/>
      <c r="I1" s="609"/>
    </row>
    <row r="2" spans="1:9" x14ac:dyDescent="0.2">
      <c r="G2" s="609"/>
      <c r="H2" s="609"/>
      <c r="I2" s="609"/>
    </row>
    <row r="3" spans="1:9" x14ac:dyDescent="0.2">
      <c r="A3" s="619" t="s">
        <v>67</v>
      </c>
      <c r="B3" s="609"/>
      <c r="C3" s="609"/>
      <c r="D3" s="609"/>
      <c r="E3" s="609"/>
    </row>
    <row r="4" spans="1:9" ht="25.5" x14ac:dyDescent="0.2">
      <c r="A4" s="4" t="s">
        <v>95</v>
      </c>
      <c r="B4" s="4" t="s">
        <v>710</v>
      </c>
      <c r="C4" s="4" t="s">
        <v>711</v>
      </c>
      <c r="D4" s="4" t="s">
        <v>712</v>
      </c>
      <c r="E4" s="4" t="s">
        <v>713</v>
      </c>
    </row>
    <row r="5" spans="1:9" x14ac:dyDescent="0.2">
      <c r="A5" s="614" t="s">
        <v>466</v>
      </c>
      <c r="B5" s="17" t="s">
        <v>714</v>
      </c>
      <c r="C5" s="429">
        <v>4</v>
      </c>
      <c r="D5" s="430">
        <v>0</v>
      </c>
      <c r="E5" s="431">
        <v>320</v>
      </c>
    </row>
    <row r="6" spans="1:9" x14ac:dyDescent="0.2">
      <c r="A6" s="614" t="s">
        <v>466</v>
      </c>
      <c r="B6" s="17" t="s">
        <v>715</v>
      </c>
      <c r="C6" s="429">
        <v>3</v>
      </c>
      <c r="D6" s="430">
        <v>0</v>
      </c>
      <c r="E6" s="431">
        <v>321</v>
      </c>
    </row>
    <row r="7" spans="1:9" x14ac:dyDescent="0.2">
      <c r="A7" s="614" t="s">
        <v>466</v>
      </c>
      <c r="B7" s="17" t="s">
        <v>716</v>
      </c>
      <c r="C7" s="429">
        <v>4</v>
      </c>
      <c r="D7" s="430">
        <v>0</v>
      </c>
      <c r="E7" s="431">
        <v>320</v>
      </c>
    </row>
    <row r="8" spans="1:9" ht="38.25" x14ac:dyDescent="0.2">
      <c r="A8" s="614" t="s">
        <v>466</v>
      </c>
      <c r="B8" s="17" t="s">
        <v>717</v>
      </c>
      <c r="C8" s="429">
        <v>29</v>
      </c>
      <c r="D8" s="430">
        <v>3</v>
      </c>
      <c r="E8" s="431">
        <v>292</v>
      </c>
    </row>
    <row r="9" spans="1:9" x14ac:dyDescent="0.2">
      <c r="A9" s="614" t="s">
        <v>467</v>
      </c>
      <c r="B9" s="17" t="s">
        <v>714</v>
      </c>
      <c r="C9" s="429">
        <v>0</v>
      </c>
      <c r="D9" s="430">
        <v>0</v>
      </c>
      <c r="E9" s="431">
        <v>10</v>
      </c>
    </row>
    <row r="10" spans="1:9" x14ac:dyDescent="0.2">
      <c r="A10" s="614" t="s">
        <v>467</v>
      </c>
      <c r="B10" s="17" t="s">
        <v>715</v>
      </c>
      <c r="C10" s="429">
        <v>1</v>
      </c>
      <c r="D10" s="430">
        <v>2</v>
      </c>
      <c r="E10" s="431">
        <v>7</v>
      </c>
    </row>
    <row r="11" spans="1:9" x14ac:dyDescent="0.2">
      <c r="A11" s="614" t="s">
        <v>467</v>
      </c>
      <c r="B11" s="17" t="s">
        <v>716</v>
      </c>
      <c r="C11" s="429">
        <v>0</v>
      </c>
      <c r="D11" s="430">
        <v>0</v>
      </c>
      <c r="E11" s="431">
        <v>10</v>
      </c>
    </row>
    <row r="12" spans="1:9" ht="38.25" x14ac:dyDescent="0.2">
      <c r="A12" s="614" t="s">
        <v>467</v>
      </c>
      <c r="B12" s="17" t="s">
        <v>717</v>
      </c>
      <c r="C12" s="429">
        <v>1</v>
      </c>
      <c r="D12" s="430">
        <v>1</v>
      </c>
      <c r="E12" s="431">
        <v>8</v>
      </c>
    </row>
    <row r="13" spans="1:9" x14ac:dyDescent="0.2">
      <c r="A13" s="614" t="s">
        <v>71</v>
      </c>
      <c r="B13" s="17" t="s">
        <v>714</v>
      </c>
      <c r="C13" s="429">
        <v>0</v>
      </c>
      <c r="D13" s="430">
        <v>0</v>
      </c>
      <c r="E13" s="431">
        <v>208</v>
      </c>
    </row>
    <row r="14" spans="1:9" x14ac:dyDescent="0.2">
      <c r="A14" s="614" t="s">
        <v>71</v>
      </c>
      <c r="B14" s="17" t="s">
        <v>715</v>
      </c>
      <c r="C14" s="429">
        <v>1</v>
      </c>
      <c r="D14" s="430">
        <v>0</v>
      </c>
      <c r="E14" s="431">
        <v>207</v>
      </c>
    </row>
    <row r="15" spans="1:9" x14ac:dyDescent="0.2">
      <c r="A15" s="614" t="s">
        <v>71</v>
      </c>
      <c r="B15" s="17" t="s">
        <v>716</v>
      </c>
      <c r="C15" s="429">
        <v>0</v>
      </c>
      <c r="D15" s="430">
        <v>0</v>
      </c>
      <c r="E15" s="431">
        <v>208</v>
      </c>
    </row>
    <row r="16" spans="1:9" ht="38.25" x14ac:dyDescent="0.2">
      <c r="A16" s="614" t="s">
        <v>71</v>
      </c>
      <c r="B16" s="17" t="s">
        <v>717</v>
      </c>
      <c r="C16" s="429">
        <v>4</v>
      </c>
      <c r="D16" s="430">
        <v>4</v>
      </c>
      <c r="E16" s="431">
        <v>200</v>
      </c>
    </row>
    <row r="17" spans="1:5" x14ac:dyDescent="0.2">
      <c r="A17" s="614" t="s">
        <v>72</v>
      </c>
      <c r="B17" s="17" t="s">
        <v>714</v>
      </c>
      <c r="C17" s="429">
        <v>1</v>
      </c>
      <c r="D17" s="430">
        <v>0</v>
      </c>
      <c r="E17" s="431">
        <v>27</v>
      </c>
    </row>
    <row r="18" spans="1:5" x14ac:dyDescent="0.2">
      <c r="A18" s="614" t="s">
        <v>72</v>
      </c>
      <c r="B18" s="17" t="s">
        <v>715</v>
      </c>
      <c r="C18" s="429">
        <v>0</v>
      </c>
      <c r="D18" s="430">
        <v>0</v>
      </c>
      <c r="E18" s="431">
        <v>28</v>
      </c>
    </row>
    <row r="19" spans="1:5" x14ac:dyDescent="0.2">
      <c r="A19" s="614" t="s">
        <v>72</v>
      </c>
      <c r="B19" s="17" t="s">
        <v>716</v>
      </c>
      <c r="C19" s="429">
        <v>1</v>
      </c>
      <c r="D19" s="430">
        <v>1</v>
      </c>
      <c r="E19" s="431">
        <v>26</v>
      </c>
    </row>
    <row r="20" spans="1:5" ht="38.25" x14ac:dyDescent="0.2">
      <c r="A20" s="614" t="s">
        <v>72</v>
      </c>
      <c r="B20" s="17" t="s">
        <v>717</v>
      </c>
      <c r="C20" s="429">
        <v>4</v>
      </c>
      <c r="D20" s="430">
        <v>1</v>
      </c>
      <c r="E20" s="431">
        <v>23</v>
      </c>
    </row>
    <row r="21" spans="1:5" x14ac:dyDescent="0.2">
      <c r="A21" s="610" t="s">
        <v>430</v>
      </c>
      <c r="B21" s="609"/>
      <c r="C21" s="609"/>
      <c r="D21" s="609"/>
      <c r="E21" s="609"/>
    </row>
  </sheetData>
  <mergeCells count="8">
    <mergeCell ref="G1:I2"/>
    <mergeCell ref="A1:E1"/>
    <mergeCell ref="A3:E3"/>
    <mergeCell ref="A21:E21"/>
    <mergeCell ref="A5:A8"/>
    <mergeCell ref="A9:A12"/>
    <mergeCell ref="A13:A16"/>
    <mergeCell ref="A17:A20"/>
  </mergeCells>
  <pageMargins left="0.6" right="0.79" top="0.79" bottom="1.06" header="0.3" footer="0.3"/>
  <pageSetup paperSize="9" fitToWidth="0" fitToHeight="0" orientation="portrait" horizontalDpi="300" verticalDpi="30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opLeftCell="A67" workbookViewId="0">
      <selection activeCell="H1" sqref="H1:J2"/>
    </sheetView>
  </sheetViews>
  <sheetFormatPr baseColWidth="10" defaultColWidth="9.140625" defaultRowHeight="12.75" x14ac:dyDescent="0.2"/>
  <cols>
    <col min="1" max="1" width="18.7109375" customWidth="1"/>
    <col min="2" max="2" width="23.7109375" customWidth="1"/>
    <col min="3" max="4" width="10.7109375" customWidth="1"/>
    <col min="5" max="6" width="11.7109375" customWidth="1"/>
  </cols>
  <sheetData>
    <row r="1" spans="1:10" ht="39" customHeight="1" x14ac:dyDescent="0.2">
      <c r="A1" s="612" t="s">
        <v>718</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ht="51" x14ac:dyDescent="0.2">
      <c r="A4" s="4" t="s">
        <v>719</v>
      </c>
      <c r="B4" s="4" t="s">
        <v>720</v>
      </c>
      <c r="C4" s="4" t="s">
        <v>721</v>
      </c>
      <c r="D4" s="4" t="s">
        <v>722</v>
      </c>
      <c r="E4" s="4" t="s">
        <v>723</v>
      </c>
      <c r="F4" s="4" t="s">
        <v>178</v>
      </c>
    </row>
    <row r="5" spans="1:10" x14ac:dyDescent="0.2">
      <c r="A5" s="620" t="s">
        <v>724</v>
      </c>
      <c r="B5" s="620"/>
      <c r="C5" s="621"/>
      <c r="D5" s="621"/>
      <c r="E5" s="621"/>
      <c r="F5" s="621"/>
    </row>
    <row r="6" spans="1:10" x14ac:dyDescent="0.2">
      <c r="A6" s="614" t="s">
        <v>725</v>
      </c>
      <c r="B6" s="17" t="s">
        <v>726</v>
      </c>
      <c r="C6" s="432">
        <v>12</v>
      </c>
      <c r="D6" s="433">
        <v>16</v>
      </c>
      <c r="E6" s="434">
        <v>269</v>
      </c>
      <c r="F6" s="435">
        <v>27</v>
      </c>
    </row>
    <row r="7" spans="1:10" x14ac:dyDescent="0.2">
      <c r="A7" s="614" t="s">
        <v>725</v>
      </c>
      <c r="B7" s="17" t="s">
        <v>727</v>
      </c>
      <c r="C7" s="432">
        <v>6</v>
      </c>
      <c r="D7" s="433">
        <v>12</v>
      </c>
      <c r="E7" s="434">
        <v>279</v>
      </c>
      <c r="F7" s="435">
        <v>27</v>
      </c>
    </row>
    <row r="8" spans="1:10" x14ac:dyDescent="0.2">
      <c r="A8" s="614" t="s">
        <v>725</v>
      </c>
      <c r="B8" s="17" t="s">
        <v>728</v>
      </c>
      <c r="C8" s="432">
        <v>1</v>
      </c>
      <c r="D8" s="433">
        <v>11</v>
      </c>
      <c r="E8" s="434">
        <v>285</v>
      </c>
      <c r="F8" s="435">
        <v>27</v>
      </c>
    </row>
    <row r="9" spans="1:10" x14ac:dyDescent="0.2">
      <c r="A9" s="614" t="s">
        <v>725</v>
      </c>
      <c r="B9" s="17" t="s">
        <v>729</v>
      </c>
      <c r="C9" s="432">
        <v>64</v>
      </c>
      <c r="D9" s="433">
        <v>75</v>
      </c>
      <c r="E9" s="434">
        <v>158</v>
      </c>
      <c r="F9" s="435">
        <v>27</v>
      </c>
    </row>
    <row r="10" spans="1:10" x14ac:dyDescent="0.2">
      <c r="A10" s="614" t="s">
        <v>725</v>
      </c>
      <c r="B10" s="17" t="s">
        <v>730</v>
      </c>
      <c r="C10" s="432">
        <v>18</v>
      </c>
      <c r="D10" s="433">
        <v>56</v>
      </c>
      <c r="E10" s="434">
        <v>223</v>
      </c>
      <c r="F10" s="435">
        <v>27</v>
      </c>
    </row>
    <row r="11" spans="1:10" x14ac:dyDescent="0.2">
      <c r="A11" s="614" t="s">
        <v>725</v>
      </c>
      <c r="B11" s="17" t="s">
        <v>731</v>
      </c>
      <c r="C11" s="432">
        <v>1</v>
      </c>
      <c r="D11" s="433">
        <v>12</v>
      </c>
      <c r="E11" s="434">
        <v>284</v>
      </c>
      <c r="F11" s="435">
        <v>27</v>
      </c>
    </row>
    <row r="12" spans="1:10" x14ac:dyDescent="0.2">
      <c r="A12" s="614" t="s">
        <v>725</v>
      </c>
      <c r="B12" s="17" t="s">
        <v>732</v>
      </c>
      <c r="C12" s="432">
        <v>68</v>
      </c>
      <c r="D12" s="433">
        <v>80</v>
      </c>
      <c r="E12" s="434">
        <v>149</v>
      </c>
      <c r="F12" s="435">
        <v>27</v>
      </c>
    </row>
    <row r="13" spans="1:10" x14ac:dyDescent="0.2">
      <c r="A13" s="614" t="s">
        <v>725</v>
      </c>
      <c r="B13" s="17" t="s">
        <v>733</v>
      </c>
      <c r="C13" s="432">
        <v>10</v>
      </c>
      <c r="D13" s="433">
        <v>39</v>
      </c>
      <c r="E13" s="434">
        <v>248</v>
      </c>
      <c r="F13" s="435">
        <v>27</v>
      </c>
    </row>
    <row r="14" spans="1:10" ht="102" x14ac:dyDescent="0.2">
      <c r="A14" s="614" t="s">
        <v>725</v>
      </c>
      <c r="B14" s="571" t="s">
        <v>934</v>
      </c>
      <c r="C14" s="432">
        <v>8</v>
      </c>
      <c r="D14" s="433">
        <v>14</v>
      </c>
      <c r="E14" s="434">
        <v>275</v>
      </c>
      <c r="F14" s="435">
        <v>27</v>
      </c>
    </row>
    <row r="15" spans="1:10" x14ac:dyDescent="0.2">
      <c r="A15" s="614" t="s">
        <v>734</v>
      </c>
      <c r="B15" s="17" t="s">
        <v>735</v>
      </c>
      <c r="C15" s="432">
        <v>3</v>
      </c>
      <c r="D15" s="433">
        <v>14</v>
      </c>
      <c r="E15" s="434">
        <v>280</v>
      </c>
      <c r="F15" s="435">
        <v>27</v>
      </c>
    </row>
    <row r="16" spans="1:10" x14ac:dyDescent="0.2">
      <c r="A16" s="614" t="s">
        <v>734</v>
      </c>
      <c r="B16" s="17" t="s">
        <v>736</v>
      </c>
      <c r="C16" s="432">
        <v>9</v>
      </c>
      <c r="D16" s="433">
        <v>89</v>
      </c>
      <c r="E16" s="434">
        <v>199</v>
      </c>
      <c r="F16" s="435">
        <v>27</v>
      </c>
    </row>
    <row r="17" spans="1:6" x14ac:dyDescent="0.2">
      <c r="A17" s="614" t="s">
        <v>734</v>
      </c>
      <c r="B17" s="17" t="s">
        <v>737</v>
      </c>
      <c r="C17" s="432">
        <v>1</v>
      </c>
      <c r="D17" s="433">
        <v>21</v>
      </c>
      <c r="E17" s="434">
        <v>275</v>
      </c>
      <c r="F17" s="435">
        <v>27</v>
      </c>
    </row>
    <row r="18" spans="1:6" x14ac:dyDescent="0.2">
      <c r="A18" s="614" t="s">
        <v>734</v>
      </c>
      <c r="B18" s="17" t="s">
        <v>738</v>
      </c>
      <c r="C18" s="432">
        <v>2</v>
      </c>
      <c r="D18" s="433">
        <v>41</v>
      </c>
      <c r="E18" s="434">
        <v>254</v>
      </c>
      <c r="F18" s="435">
        <v>27</v>
      </c>
    </row>
    <row r="19" spans="1:6" x14ac:dyDescent="0.2">
      <c r="A19" s="614" t="s">
        <v>734</v>
      </c>
      <c r="B19" s="17" t="s">
        <v>739</v>
      </c>
      <c r="C19" s="432">
        <v>1</v>
      </c>
      <c r="D19" s="433">
        <v>24</v>
      </c>
      <c r="E19" s="434">
        <v>272</v>
      </c>
      <c r="F19" s="435">
        <v>27</v>
      </c>
    </row>
    <row r="20" spans="1:6" ht="38.25" x14ac:dyDescent="0.2">
      <c r="A20" s="614" t="s">
        <v>734</v>
      </c>
      <c r="B20" s="571" t="s">
        <v>935</v>
      </c>
      <c r="C20" s="432">
        <v>1</v>
      </c>
      <c r="D20" s="433">
        <v>10</v>
      </c>
      <c r="E20" s="434">
        <v>286</v>
      </c>
      <c r="F20" s="435">
        <v>27</v>
      </c>
    </row>
    <row r="21" spans="1:6" x14ac:dyDescent="0.2">
      <c r="A21" s="614" t="s">
        <v>740</v>
      </c>
      <c r="B21" s="17" t="s">
        <v>741</v>
      </c>
      <c r="C21" s="432">
        <v>21</v>
      </c>
      <c r="D21" s="433">
        <v>13</v>
      </c>
      <c r="E21" s="434">
        <v>263</v>
      </c>
      <c r="F21" s="435">
        <v>27</v>
      </c>
    </row>
    <row r="22" spans="1:6" x14ac:dyDescent="0.2">
      <c r="A22" s="614" t="s">
        <v>740</v>
      </c>
      <c r="B22" s="17" t="s">
        <v>742</v>
      </c>
      <c r="C22" s="432">
        <v>0</v>
      </c>
      <c r="D22" s="433">
        <v>0</v>
      </c>
      <c r="E22" s="434">
        <v>297</v>
      </c>
      <c r="F22" s="435">
        <v>27</v>
      </c>
    </row>
    <row r="23" spans="1:6" x14ac:dyDescent="0.2">
      <c r="A23" s="614" t="s">
        <v>740</v>
      </c>
      <c r="B23" s="17" t="s">
        <v>743</v>
      </c>
      <c r="C23" s="432">
        <v>58</v>
      </c>
      <c r="D23" s="433">
        <v>29</v>
      </c>
      <c r="E23" s="434">
        <v>210</v>
      </c>
      <c r="F23" s="435">
        <v>27</v>
      </c>
    </row>
    <row r="24" spans="1:6" ht="102" x14ac:dyDescent="0.2">
      <c r="A24" s="614" t="s">
        <v>740</v>
      </c>
      <c r="B24" s="571" t="s">
        <v>933</v>
      </c>
      <c r="C24" s="432">
        <v>4</v>
      </c>
      <c r="D24" s="433">
        <v>1</v>
      </c>
      <c r="E24" s="434">
        <v>292</v>
      </c>
      <c r="F24" s="435">
        <v>27</v>
      </c>
    </row>
    <row r="25" spans="1:6" x14ac:dyDescent="0.2">
      <c r="A25" s="620" t="s">
        <v>744</v>
      </c>
      <c r="B25" s="620"/>
      <c r="C25" s="621"/>
      <c r="D25" s="621"/>
      <c r="E25" s="621"/>
      <c r="F25" s="621"/>
    </row>
    <row r="26" spans="1:6" x14ac:dyDescent="0.2">
      <c r="A26" s="614" t="s">
        <v>725</v>
      </c>
      <c r="B26" s="17" t="s">
        <v>726</v>
      </c>
      <c r="C26" s="432">
        <v>0</v>
      </c>
      <c r="D26" s="433">
        <v>2</v>
      </c>
      <c r="E26" s="434">
        <v>8</v>
      </c>
      <c r="F26" s="435">
        <v>0</v>
      </c>
    </row>
    <row r="27" spans="1:6" x14ac:dyDescent="0.2">
      <c r="A27" s="614" t="s">
        <v>725</v>
      </c>
      <c r="B27" s="17" t="s">
        <v>727</v>
      </c>
      <c r="C27" s="432">
        <v>0</v>
      </c>
      <c r="D27" s="433">
        <v>1</v>
      </c>
      <c r="E27" s="434">
        <v>9</v>
      </c>
      <c r="F27" s="435">
        <v>0</v>
      </c>
    </row>
    <row r="28" spans="1:6" x14ac:dyDescent="0.2">
      <c r="A28" s="614" t="s">
        <v>725</v>
      </c>
      <c r="B28" s="17" t="s">
        <v>728</v>
      </c>
      <c r="C28" s="432">
        <v>0</v>
      </c>
      <c r="D28" s="433">
        <v>0</v>
      </c>
      <c r="E28" s="434">
        <v>10</v>
      </c>
      <c r="F28" s="435">
        <v>0</v>
      </c>
    </row>
    <row r="29" spans="1:6" x14ac:dyDescent="0.2">
      <c r="A29" s="614" t="s">
        <v>725</v>
      </c>
      <c r="B29" s="17" t="s">
        <v>729</v>
      </c>
      <c r="C29" s="432">
        <v>2</v>
      </c>
      <c r="D29" s="433">
        <v>5</v>
      </c>
      <c r="E29" s="434">
        <v>3</v>
      </c>
      <c r="F29" s="435">
        <v>0</v>
      </c>
    </row>
    <row r="30" spans="1:6" x14ac:dyDescent="0.2">
      <c r="A30" s="614" t="s">
        <v>725</v>
      </c>
      <c r="B30" s="17" t="s">
        <v>730</v>
      </c>
      <c r="C30" s="432">
        <v>0</v>
      </c>
      <c r="D30" s="433">
        <v>0</v>
      </c>
      <c r="E30" s="434">
        <v>10</v>
      </c>
      <c r="F30" s="435">
        <v>0</v>
      </c>
    </row>
    <row r="31" spans="1:6" x14ac:dyDescent="0.2">
      <c r="A31" s="614" t="s">
        <v>725</v>
      </c>
      <c r="B31" s="17" t="s">
        <v>731</v>
      </c>
      <c r="C31" s="432">
        <v>0</v>
      </c>
      <c r="D31" s="433">
        <v>1</v>
      </c>
      <c r="E31" s="434">
        <v>9</v>
      </c>
      <c r="F31" s="435">
        <v>0</v>
      </c>
    </row>
    <row r="32" spans="1:6" x14ac:dyDescent="0.2">
      <c r="A32" s="614" t="s">
        <v>725</v>
      </c>
      <c r="B32" s="17" t="s">
        <v>732</v>
      </c>
      <c r="C32" s="432">
        <v>3</v>
      </c>
      <c r="D32" s="433">
        <v>4</v>
      </c>
      <c r="E32" s="434">
        <v>3</v>
      </c>
      <c r="F32" s="435">
        <v>0</v>
      </c>
    </row>
    <row r="33" spans="1:6" x14ac:dyDescent="0.2">
      <c r="A33" s="614" t="s">
        <v>725</v>
      </c>
      <c r="B33" s="17" t="s">
        <v>733</v>
      </c>
      <c r="C33" s="432">
        <v>0</v>
      </c>
      <c r="D33" s="433">
        <v>0</v>
      </c>
      <c r="E33" s="434">
        <v>10</v>
      </c>
      <c r="F33" s="435">
        <v>0</v>
      </c>
    </row>
    <row r="34" spans="1:6" ht="102" x14ac:dyDescent="0.2">
      <c r="A34" s="614" t="s">
        <v>725</v>
      </c>
      <c r="B34" s="571" t="s">
        <v>934</v>
      </c>
      <c r="C34" s="432">
        <v>0</v>
      </c>
      <c r="D34" s="433">
        <v>1</v>
      </c>
      <c r="E34" s="434">
        <v>9</v>
      </c>
      <c r="F34" s="435">
        <v>0</v>
      </c>
    </row>
    <row r="35" spans="1:6" x14ac:dyDescent="0.2">
      <c r="A35" s="614" t="s">
        <v>734</v>
      </c>
      <c r="B35" s="17" t="s">
        <v>735</v>
      </c>
      <c r="C35" s="432">
        <v>0</v>
      </c>
      <c r="D35" s="433">
        <v>0</v>
      </c>
      <c r="E35" s="434">
        <v>10</v>
      </c>
      <c r="F35" s="435">
        <v>0</v>
      </c>
    </row>
    <row r="36" spans="1:6" x14ac:dyDescent="0.2">
      <c r="A36" s="614" t="s">
        <v>734</v>
      </c>
      <c r="B36" s="17" t="s">
        <v>736</v>
      </c>
      <c r="C36" s="432">
        <v>0</v>
      </c>
      <c r="D36" s="433">
        <v>1</v>
      </c>
      <c r="E36" s="434">
        <v>9</v>
      </c>
      <c r="F36" s="435">
        <v>0</v>
      </c>
    </row>
    <row r="37" spans="1:6" x14ac:dyDescent="0.2">
      <c r="A37" s="614" t="s">
        <v>734</v>
      </c>
      <c r="B37" s="17" t="s">
        <v>737</v>
      </c>
      <c r="C37" s="432">
        <v>0</v>
      </c>
      <c r="D37" s="433">
        <v>1</v>
      </c>
      <c r="E37" s="434">
        <v>9</v>
      </c>
      <c r="F37" s="435">
        <v>0</v>
      </c>
    </row>
    <row r="38" spans="1:6" x14ac:dyDescent="0.2">
      <c r="A38" s="614" t="s">
        <v>734</v>
      </c>
      <c r="B38" s="17" t="s">
        <v>738</v>
      </c>
      <c r="C38" s="432">
        <v>0</v>
      </c>
      <c r="D38" s="433">
        <v>0</v>
      </c>
      <c r="E38" s="434">
        <v>10</v>
      </c>
      <c r="F38" s="435">
        <v>0</v>
      </c>
    </row>
    <row r="39" spans="1:6" x14ac:dyDescent="0.2">
      <c r="A39" s="614" t="s">
        <v>734</v>
      </c>
      <c r="B39" s="17" t="s">
        <v>739</v>
      </c>
      <c r="C39" s="432">
        <v>0</v>
      </c>
      <c r="D39" s="433">
        <v>2</v>
      </c>
      <c r="E39" s="434">
        <v>8</v>
      </c>
      <c r="F39" s="435">
        <v>0</v>
      </c>
    </row>
    <row r="40" spans="1:6" ht="38.25" x14ac:dyDescent="0.2">
      <c r="A40" s="614" t="s">
        <v>734</v>
      </c>
      <c r="B40" s="571" t="s">
        <v>935</v>
      </c>
      <c r="C40" s="432">
        <v>0</v>
      </c>
      <c r="D40" s="433">
        <v>0</v>
      </c>
      <c r="E40" s="434">
        <v>10</v>
      </c>
      <c r="F40" s="435">
        <v>0</v>
      </c>
    </row>
    <row r="41" spans="1:6" x14ac:dyDescent="0.2">
      <c r="A41" s="614" t="s">
        <v>740</v>
      </c>
      <c r="B41" s="17" t="s">
        <v>741</v>
      </c>
      <c r="C41" s="432">
        <v>0</v>
      </c>
      <c r="D41" s="433">
        <v>0</v>
      </c>
      <c r="E41" s="434">
        <v>10</v>
      </c>
      <c r="F41" s="435">
        <v>0</v>
      </c>
    </row>
    <row r="42" spans="1:6" x14ac:dyDescent="0.2">
      <c r="A42" s="614" t="s">
        <v>740</v>
      </c>
      <c r="B42" s="17" t="s">
        <v>742</v>
      </c>
      <c r="C42" s="432">
        <v>0</v>
      </c>
      <c r="D42" s="433">
        <v>0</v>
      </c>
      <c r="E42" s="434">
        <v>10</v>
      </c>
      <c r="F42" s="435">
        <v>0</v>
      </c>
    </row>
    <row r="43" spans="1:6" x14ac:dyDescent="0.2">
      <c r="A43" s="614" t="s">
        <v>740</v>
      </c>
      <c r="B43" s="17" t="s">
        <v>743</v>
      </c>
      <c r="C43" s="432">
        <v>2</v>
      </c>
      <c r="D43" s="433">
        <v>0</v>
      </c>
      <c r="E43" s="434">
        <v>8</v>
      </c>
      <c r="F43" s="435">
        <v>0</v>
      </c>
    </row>
    <row r="44" spans="1:6" ht="102" x14ac:dyDescent="0.2">
      <c r="A44" s="614" t="s">
        <v>740</v>
      </c>
      <c r="B44" s="571" t="s">
        <v>933</v>
      </c>
      <c r="C44" s="432">
        <v>2</v>
      </c>
      <c r="D44" s="433">
        <v>0</v>
      </c>
      <c r="E44" s="434">
        <v>8</v>
      </c>
      <c r="F44" s="435">
        <v>0</v>
      </c>
    </row>
    <row r="45" spans="1:6" x14ac:dyDescent="0.2">
      <c r="A45" s="620" t="s">
        <v>71</v>
      </c>
      <c r="B45" s="620"/>
      <c r="C45" s="621"/>
      <c r="D45" s="621"/>
      <c r="E45" s="621"/>
      <c r="F45" s="621"/>
    </row>
    <row r="46" spans="1:6" x14ac:dyDescent="0.2">
      <c r="A46" s="614" t="s">
        <v>725</v>
      </c>
      <c r="B46" s="17" t="s">
        <v>726</v>
      </c>
      <c r="C46" s="432">
        <v>0</v>
      </c>
      <c r="D46" s="433">
        <v>2</v>
      </c>
      <c r="E46" s="434">
        <v>201</v>
      </c>
      <c r="F46" s="435">
        <v>5</v>
      </c>
    </row>
    <row r="47" spans="1:6" x14ac:dyDescent="0.2">
      <c r="A47" s="614" t="s">
        <v>725</v>
      </c>
      <c r="B47" s="17" t="s">
        <v>727</v>
      </c>
      <c r="C47" s="432">
        <v>1</v>
      </c>
      <c r="D47" s="433">
        <v>1</v>
      </c>
      <c r="E47" s="434">
        <v>201</v>
      </c>
      <c r="F47" s="435">
        <v>5</v>
      </c>
    </row>
    <row r="48" spans="1:6" x14ac:dyDescent="0.2">
      <c r="A48" s="614" t="s">
        <v>725</v>
      </c>
      <c r="B48" s="17" t="s">
        <v>728</v>
      </c>
      <c r="C48" s="432">
        <v>0</v>
      </c>
      <c r="D48" s="433">
        <v>1</v>
      </c>
      <c r="E48" s="434">
        <v>202</v>
      </c>
      <c r="F48" s="435">
        <v>5</v>
      </c>
    </row>
    <row r="49" spans="1:6" x14ac:dyDescent="0.2">
      <c r="A49" s="614" t="s">
        <v>725</v>
      </c>
      <c r="B49" s="17" t="s">
        <v>729</v>
      </c>
      <c r="C49" s="432">
        <v>2</v>
      </c>
      <c r="D49" s="433">
        <v>12</v>
      </c>
      <c r="E49" s="434">
        <v>189</v>
      </c>
      <c r="F49" s="435">
        <v>5</v>
      </c>
    </row>
    <row r="50" spans="1:6" x14ac:dyDescent="0.2">
      <c r="A50" s="614" t="s">
        <v>725</v>
      </c>
      <c r="B50" s="17" t="s">
        <v>730</v>
      </c>
      <c r="C50" s="432">
        <v>0</v>
      </c>
      <c r="D50" s="433">
        <v>12</v>
      </c>
      <c r="E50" s="434">
        <v>191</v>
      </c>
      <c r="F50" s="435">
        <v>5</v>
      </c>
    </row>
    <row r="51" spans="1:6" x14ac:dyDescent="0.2">
      <c r="A51" s="614" t="s">
        <v>725</v>
      </c>
      <c r="B51" s="17" t="s">
        <v>731</v>
      </c>
      <c r="C51" s="432">
        <v>0</v>
      </c>
      <c r="D51" s="433">
        <v>0</v>
      </c>
      <c r="E51" s="434">
        <v>203</v>
      </c>
      <c r="F51" s="435">
        <v>5</v>
      </c>
    </row>
    <row r="52" spans="1:6" x14ac:dyDescent="0.2">
      <c r="A52" s="614" t="s">
        <v>725</v>
      </c>
      <c r="B52" s="17" t="s">
        <v>732</v>
      </c>
      <c r="C52" s="432">
        <v>4</v>
      </c>
      <c r="D52" s="433">
        <v>18</v>
      </c>
      <c r="E52" s="434">
        <v>181</v>
      </c>
      <c r="F52" s="435">
        <v>5</v>
      </c>
    </row>
    <row r="53" spans="1:6" x14ac:dyDescent="0.2">
      <c r="A53" s="614" t="s">
        <v>725</v>
      </c>
      <c r="B53" s="17" t="s">
        <v>733</v>
      </c>
      <c r="C53" s="432">
        <v>1</v>
      </c>
      <c r="D53" s="433">
        <v>7</v>
      </c>
      <c r="E53" s="434">
        <v>195</v>
      </c>
      <c r="F53" s="435">
        <v>5</v>
      </c>
    </row>
    <row r="54" spans="1:6" ht="102" x14ac:dyDescent="0.2">
      <c r="A54" s="614" t="s">
        <v>725</v>
      </c>
      <c r="B54" s="17" t="s">
        <v>934</v>
      </c>
      <c r="C54" s="432">
        <v>16</v>
      </c>
      <c r="D54" s="433">
        <v>9</v>
      </c>
      <c r="E54" s="434">
        <v>178</v>
      </c>
      <c r="F54" s="435">
        <v>5</v>
      </c>
    </row>
    <row r="55" spans="1:6" x14ac:dyDescent="0.2">
      <c r="A55" s="614" t="s">
        <v>734</v>
      </c>
      <c r="B55" s="17" t="s">
        <v>735</v>
      </c>
      <c r="C55" s="432">
        <v>0</v>
      </c>
      <c r="D55" s="433">
        <v>0</v>
      </c>
      <c r="E55" s="434">
        <v>203</v>
      </c>
      <c r="F55" s="435">
        <v>5</v>
      </c>
    </row>
    <row r="56" spans="1:6" x14ac:dyDescent="0.2">
      <c r="A56" s="614" t="s">
        <v>734</v>
      </c>
      <c r="B56" s="17" t="s">
        <v>736</v>
      </c>
      <c r="C56" s="432">
        <v>0</v>
      </c>
      <c r="D56" s="433">
        <v>3</v>
      </c>
      <c r="E56" s="434">
        <v>200</v>
      </c>
      <c r="F56" s="435">
        <v>5</v>
      </c>
    </row>
    <row r="57" spans="1:6" x14ac:dyDescent="0.2">
      <c r="A57" s="614" t="s">
        <v>734</v>
      </c>
      <c r="B57" s="17" t="s">
        <v>737</v>
      </c>
      <c r="C57" s="432">
        <v>1</v>
      </c>
      <c r="D57" s="433">
        <v>2</v>
      </c>
      <c r="E57" s="434">
        <v>200</v>
      </c>
      <c r="F57" s="435">
        <v>5</v>
      </c>
    </row>
    <row r="58" spans="1:6" x14ac:dyDescent="0.2">
      <c r="A58" s="614" t="s">
        <v>734</v>
      </c>
      <c r="B58" s="17" t="s">
        <v>738</v>
      </c>
      <c r="C58" s="432">
        <v>0</v>
      </c>
      <c r="D58" s="433">
        <v>5</v>
      </c>
      <c r="E58" s="434">
        <v>198</v>
      </c>
      <c r="F58" s="435">
        <v>5</v>
      </c>
    </row>
    <row r="59" spans="1:6" x14ac:dyDescent="0.2">
      <c r="A59" s="614" t="s">
        <v>734</v>
      </c>
      <c r="B59" s="17" t="s">
        <v>739</v>
      </c>
      <c r="C59" s="432">
        <v>0</v>
      </c>
      <c r="D59" s="433">
        <v>0</v>
      </c>
      <c r="E59" s="434">
        <v>203</v>
      </c>
      <c r="F59" s="435">
        <v>5</v>
      </c>
    </row>
    <row r="60" spans="1:6" ht="38.25" x14ac:dyDescent="0.2">
      <c r="A60" s="614" t="s">
        <v>734</v>
      </c>
      <c r="B60" s="17" t="s">
        <v>935</v>
      </c>
      <c r="C60" s="432">
        <v>0</v>
      </c>
      <c r="D60" s="433">
        <v>1</v>
      </c>
      <c r="E60" s="434">
        <v>202</v>
      </c>
      <c r="F60" s="435">
        <v>5</v>
      </c>
    </row>
    <row r="61" spans="1:6" x14ac:dyDescent="0.2">
      <c r="A61" s="614" t="s">
        <v>740</v>
      </c>
      <c r="B61" s="17" t="s">
        <v>741</v>
      </c>
      <c r="C61" s="432">
        <v>0</v>
      </c>
      <c r="D61" s="433">
        <v>0</v>
      </c>
      <c r="E61" s="434">
        <v>203</v>
      </c>
      <c r="F61" s="435">
        <v>5</v>
      </c>
    </row>
    <row r="62" spans="1:6" x14ac:dyDescent="0.2">
      <c r="A62" s="614" t="s">
        <v>740</v>
      </c>
      <c r="B62" s="17" t="s">
        <v>742</v>
      </c>
      <c r="C62" s="432">
        <v>0</v>
      </c>
      <c r="D62" s="433">
        <v>0</v>
      </c>
      <c r="E62" s="434">
        <v>203</v>
      </c>
      <c r="F62" s="435">
        <v>5</v>
      </c>
    </row>
    <row r="63" spans="1:6" x14ac:dyDescent="0.2">
      <c r="A63" s="614" t="s">
        <v>740</v>
      </c>
      <c r="B63" s="17" t="s">
        <v>743</v>
      </c>
      <c r="C63" s="432">
        <v>0</v>
      </c>
      <c r="D63" s="433">
        <v>0</v>
      </c>
      <c r="E63" s="434">
        <v>203</v>
      </c>
      <c r="F63" s="435">
        <v>5</v>
      </c>
    </row>
    <row r="64" spans="1:6" ht="102" x14ac:dyDescent="0.2">
      <c r="A64" s="614" t="s">
        <v>740</v>
      </c>
      <c r="B64" s="571" t="s">
        <v>933</v>
      </c>
      <c r="C64" s="432">
        <v>2</v>
      </c>
      <c r="D64" s="433">
        <v>0</v>
      </c>
      <c r="E64" s="434">
        <v>201</v>
      </c>
      <c r="F64" s="435">
        <v>5</v>
      </c>
    </row>
    <row r="65" spans="1:6" x14ac:dyDescent="0.2">
      <c r="A65" s="620" t="s">
        <v>72</v>
      </c>
      <c r="B65" s="620"/>
      <c r="C65" s="621"/>
      <c r="D65" s="621"/>
      <c r="E65" s="621"/>
      <c r="F65" s="621"/>
    </row>
    <row r="66" spans="1:6" x14ac:dyDescent="0.2">
      <c r="A66" s="614" t="s">
        <v>725</v>
      </c>
      <c r="B66" s="17" t="s">
        <v>726</v>
      </c>
      <c r="C66" s="432">
        <v>0</v>
      </c>
      <c r="D66" s="433">
        <v>3</v>
      </c>
      <c r="E66" s="434">
        <v>20</v>
      </c>
      <c r="F66" s="435">
        <v>5</v>
      </c>
    </row>
    <row r="67" spans="1:6" x14ac:dyDescent="0.2">
      <c r="A67" s="614" t="s">
        <v>725</v>
      </c>
      <c r="B67" s="17" t="s">
        <v>727</v>
      </c>
      <c r="C67" s="432">
        <v>1</v>
      </c>
      <c r="D67" s="433">
        <v>0</v>
      </c>
      <c r="E67" s="434">
        <v>22</v>
      </c>
      <c r="F67" s="435">
        <v>5</v>
      </c>
    </row>
    <row r="68" spans="1:6" x14ac:dyDescent="0.2">
      <c r="A68" s="614" t="s">
        <v>725</v>
      </c>
      <c r="B68" s="17" t="s">
        <v>728</v>
      </c>
      <c r="C68" s="432">
        <v>0</v>
      </c>
      <c r="D68" s="433">
        <v>2</v>
      </c>
      <c r="E68" s="434">
        <v>21</v>
      </c>
      <c r="F68" s="435">
        <v>5</v>
      </c>
    </row>
    <row r="69" spans="1:6" x14ac:dyDescent="0.2">
      <c r="A69" s="614" t="s">
        <v>725</v>
      </c>
      <c r="B69" s="17" t="s">
        <v>729</v>
      </c>
      <c r="C69" s="432">
        <v>0</v>
      </c>
      <c r="D69" s="433">
        <v>1</v>
      </c>
      <c r="E69" s="434">
        <v>22</v>
      </c>
      <c r="F69" s="435">
        <v>5</v>
      </c>
    </row>
    <row r="70" spans="1:6" x14ac:dyDescent="0.2">
      <c r="A70" s="614" t="s">
        <v>725</v>
      </c>
      <c r="B70" s="17" t="s">
        <v>730</v>
      </c>
      <c r="C70" s="432">
        <v>0</v>
      </c>
      <c r="D70" s="433">
        <v>6</v>
      </c>
      <c r="E70" s="434">
        <v>17</v>
      </c>
      <c r="F70" s="435">
        <v>5</v>
      </c>
    </row>
    <row r="71" spans="1:6" x14ac:dyDescent="0.2">
      <c r="A71" s="614" t="s">
        <v>725</v>
      </c>
      <c r="B71" s="17" t="s">
        <v>731</v>
      </c>
      <c r="C71" s="432">
        <v>0</v>
      </c>
      <c r="D71" s="433">
        <v>1</v>
      </c>
      <c r="E71" s="434">
        <v>22</v>
      </c>
      <c r="F71" s="435">
        <v>5</v>
      </c>
    </row>
    <row r="72" spans="1:6" x14ac:dyDescent="0.2">
      <c r="A72" s="614" t="s">
        <v>725</v>
      </c>
      <c r="B72" s="17" t="s">
        <v>732</v>
      </c>
      <c r="C72" s="432">
        <v>3</v>
      </c>
      <c r="D72" s="433">
        <v>4</v>
      </c>
      <c r="E72" s="434">
        <v>16</v>
      </c>
      <c r="F72" s="435">
        <v>5</v>
      </c>
    </row>
    <row r="73" spans="1:6" x14ac:dyDescent="0.2">
      <c r="A73" s="614" t="s">
        <v>725</v>
      </c>
      <c r="B73" s="17" t="s">
        <v>733</v>
      </c>
      <c r="C73" s="432">
        <v>1</v>
      </c>
      <c r="D73" s="433">
        <v>0</v>
      </c>
      <c r="E73" s="434">
        <v>22</v>
      </c>
      <c r="F73" s="435">
        <v>5</v>
      </c>
    </row>
    <row r="74" spans="1:6" ht="102" x14ac:dyDescent="0.2">
      <c r="A74" s="614" t="s">
        <v>725</v>
      </c>
      <c r="B74" s="571" t="s">
        <v>934</v>
      </c>
      <c r="C74" s="432">
        <v>0</v>
      </c>
      <c r="D74" s="433">
        <v>0</v>
      </c>
      <c r="E74" s="434">
        <v>23</v>
      </c>
      <c r="F74" s="435">
        <v>5</v>
      </c>
    </row>
    <row r="75" spans="1:6" x14ac:dyDescent="0.2">
      <c r="A75" s="614" t="s">
        <v>734</v>
      </c>
      <c r="B75" s="17" t="s">
        <v>735</v>
      </c>
      <c r="C75" s="432">
        <v>0</v>
      </c>
      <c r="D75" s="433">
        <v>1</v>
      </c>
      <c r="E75" s="434">
        <v>22</v>
      </c>
      <c r="F75" s="435">
        <v>5</v>
      </c>
    </row>
    <row r="76" spans="1:6" x14ac:dyDescent="0.2">
      <c r="A76" s="614" t="s">
        <v>734</v>
      </c>
      <c r="B76" s="17" t="s">
        <v>736</v>
      </c>
      <c r="C76" s="432">
        <v>0</v>
      </c>
      <c r="D76" s="433">
        <v>5</v>
      </c>
      <c r="E76" s="434">
        <v>18</v>
      </c>
      <c r="F76" s="435">
        <v>5</v>
      </c>
    </row>
    <row r="77" spans="1:6" x14ac:dyDescent="0.2">
      <c r="A77" s="614" t="s">
        <v>734</v>
      </c>
      <c r="B77" s="17" t="s">
        <v>737</v>
      </c>
      <c r="C77" s="432">
        <v>0</v>
      </c>
      <c r="D77" s="433">
        <v>0</v>
      </c>
      <c r="E77" s="434">
        <v>23</v>
      </c>
      <c r="F77" s="435">
        <v>5</v>
      </c>
    </row>
    <row r="78" spans="1:6" x14ac:dyDescent="0.2">
      <c r="A78" s="614" t="s">
        <v>734</v>
      </c>
      <c r="B78" s="17" t="s">
        <v>738</v>
      </c>
      <c r="C78" s="432">
        <v>0</v>
      </c>
      <c r="D78" s="433">
        <v>6</v>
      </c>
      <c r="E78" s="434">
        <v>17</v>
      </c>
      <c r="F78" s="435">
        <v>5</v>
      </c>
    </row>
    <row r="79" spans="1:6" x14ac:dyDescent="0.2">
      <c r="A79" s="614" t="s">
        <v>734</v>
      </c>
      <c r="B79" s="17" t="s">
        <v>739</v>
      </c>
      <c r="C79" s="432">
        <v>0</v>
      </c>
      <c r="D79" s="433">
        <v>0</v>
      </c>
      <c r="E79" s="434">
        <v>23</v>
      </c>
      <c r="F79" s="435">
        <v>5</v>
      </c>
    </row>
    <row r="80" spans="1:6" ht="38.25" x14ac:dyDescent="0.2">
      <c r="A80" s="614" t="s">
        <v>734</v>
      </c>
      <c r="B80" s="571" t="s">
        <v>935</v>
      </c>
      <c r="C80" s="432">
        <v>1</v>
      </c>
      <c r="D80" s="433">
        <v>1</v>
      </c>
      <c r="E80" s="434">
        <v>21</v>
      </c>
      <c r="F80" s="435">
        <v>5</v>
      </c>
    </row>
    <row r="81" spans="1:6" x14ac:dyDescent="0.2">
      <c r="A81" s="614" t="s">
        <v>740</v>
      </c>
      <c r="B81" s="17" t="s">
        <v>741</v>
      </c>
      <c r="C81" s="432">
        <v>0</v>
      </c>
      <c r="D81" s="433">
        <v>4</v>
      </c>
      <c r="E81" s="434">
        <v>19</v>
      </c>
      <c r="F81" s="435">
        <v>5</v>
      </c>
    </row>
    <row r="82" spans="1:6" x14ac:dyDescent="0.2">
      <c r="A82" s="614" t="s">
        <v>740</v>
      </c>
      <c r="B82" s="17" t="s">
        <v>742</v>
      </c>
      <c r="C82" s="432">
        <v>1</v>
      </c>
      <c r="D82" s="433">
        <v>8</v>
      </c>
      <c r="E82" s="434">
        <v>14</v>
      </c>
      <c r="F82" s="435">
        <v>5</v>
      </c>
    </row>
    <row r="83" spans="1:6" x14ac:dyDescent="0.2">
      <c r="A83" s="614" t="s">
        <v>740</v>
      </c>
      <c r="B83" s="17" t="s">
        <v>743</v>
      </c>
      <c r="C83" s="432">
        <v>0</v>
      </c>
      <c r="D83" s="433">
        <v>0</v>
      </c>
      <c r="E83" s="434">
        <v>23</v>
      </c>
      <c r="F83" s="435">
        <v>5</v>
      </c>
    </row>
    <row r="84" spans="1:6" ht="102" x14ac:dyDescent="0.2">
      <c r="A84" s="614" t="s">
        <v>740</v>
      </c>
      <c r="B84" s="571" t="s">
        <v>933</v>
      </c>
      <c r="C84" s="432">
        <v>0</v>
      </c>
      <c r="D84" s="433">
        <v>5</v>
      </c>
      <c r="E84" s="434">
        <v>18</v>
      </c>
      <c r="F84" s="435">
        <v>5</v>
      </c>
    </row>
    <row r="85" spans="1:6" ht="27.75" customHeight="1" x14ac:dyDescent="0.2">
      <c r="A85" s="608" t="s">
        <v>745</v>
      </c>
      <c r="B85" s="609"/>
      <c r="C85" s="609"/>
      <c r="D85" s="609"/>
      <c r="E85" s="609"/>
      <c r="F85" s="609"/>
    </row>
    <row r="86" spans="1:6" ht="13.5" customHeight="1" x14ac:dyDescent="0.2">
      <c r="A86" s="608" t="s">
        <v>746</v>
      </c>
      <c r="B86" s="609"/>
      <c r="C86" s="609"/>
      <c r="D86" s="609"/>
      <c r="E86" s="609"/>
      <c r="F86" s="609"/>
    </row>
    <row r="87" spans="1:6" x14ac:dyDescent="0.2">
      <c r="A87" s="610" t="s">
        <v>430</v>
      </c>
      <c r="B87" s="609"/>
      <c r="C87" s="609"/>
      <c r="D87" s="609"/>
      <c r="E87" s="609"/>
      <c r="F87" s="609"/>
    </row>
  </sheetData>
  <mergeCells count="22">
    <mergeCell ref="H1:J2"/>
    <mergeCell ref="A1:F1"/>
    <mergeCell ref="A3:F3"/>
    <mergeCell ref="A85:F85"/>
    <mergeCell ref="A86:F86"/>
    <mergeCell ref="A81:A84"/>
    <mergeCell ref="A87:F87"/>
    <mergeCell ref="A5:F5"/>
    <mergeCell ref="A25:F25"/>
    <mergeCell ref="A45:F45"/>
    <mergeCell ref="A65:F65"/>
    <mergeCell ref="A6:A14"/>
    <mergeCell ref="A15:A20"/>
    <mergeCell ref="A21:A24"/>
    <mergeCell ref="A26:A34"/>
    <mergeCell ref="A35:A40"/>
    <mergeCell ref="A41:A44"/>
    <mergeCell ref="A46:A54"/>
    <mergeCell ref="A55:A60"/>
    <mergeCell ref="A61:A64"/>
    <mergeCell ref="A66:A74"/>
    <mergeCell ref="A75:A80"/>
  </mergeCells>
  <pageMargins left="0.6" right="0.79" top="0.79" bottom="1.06" header="0.3" footer="0.3"/>
  <pageSetup paperSize="9" fitToWidth="0" fitToHeight="0" orientation="portrait" horizontalDpi="300" verticalDpi="30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sqref="A1:E1"/>
    </sheetView>
  </sheetViews>
  <sheetFormatPr baseColWidth="10" defaultColWidth="9.140625" defaultRowHeight="12.75" x14ac:dyDescent="0.2"/>
  <cols>
    <col min="1" max="1" width="20.7109375" customWidth="1"/>
    <col min="2" max="5" width="15.7109375" customWidth="1"/>
  </cols>
  <sheetData>
    <row r="1" spans="1:9" ht="15" customHeight="1" x14ac:dyDescent="0.2">
      <c r="A1" s="612" t="s">
        <v>747</v>
      </c>
      <c r="B1" s="609"/>
      <c r="C1" s="609"/>
      <c r="D1" s="609"/>
      <c r="E1" s="609"/>
      <c r="G1" s="611" t="str">
        <f>HYPERLINK("#'sommaire'!A1", "Retour sommaire")</f>
        <v>Retour sommaire</v>
      </c>
      <c r="H1" s="609"/>
      <c r="I1" s="609"/>
    </row>
    <row r="2" spans="1:9" x14ac:dyDescent="0.2">
      <c r="G2" s="609"/>
      <c r="H2" s="609"/>
      <c r="I2" s="609"/>
    </row>
    <row r="3" spans="1:9" x14ac:dyDescent="0.2">
      <c r="A3" s="619" t="s">
        <v>593</v>
      </c>
      <c r="B3" s="609"/>
      <c r="C3" s="609"/>
      <c r="D3" s="609"/>
      <c r="E3" s="609"/>
    </row>
    <row r="4" spans="1:9" ht="63.75" x14ac:dyDescent="0.2">
      <c r="A4" s="4" t="s">
        <v>14</v>
      </c>
      <c r="B4" s="4" t="s">
        <v>466</v>
      </c>
      <c r="C4" s="4" t="s">
        <v>467</v>
      </c>
      <c r="D4" s="4" t="s">
        <v>71</v>
      </c>
      <c r="E4" s="4" t="s">
        <v>72</v>
      </c>
    </row>
    <row r="5" spans="1:9" x14ac:dyDescent="0.2">
      <c r="A5" s="17" t="s">
        <v>748</v>
      </c>
      <c r="B5" s="437">
        <v>300</v>
      </c>
      <c r="C5" s="439">
        <v>15</v>
      </c>
      <c r="D5" s="441">
        <v>10</v>
      </c>
      <c r="E5" s="443">
        <v>0</v>
      </c>
    </row>
    <row r="6" spans="1:9" x14ac:dyDescent="0.2">
      <c r="A6" s="17" t="s">
        <v>749</v>
      </c>
      <c r="B6" s="437">
        <v>192</v>
      </c>
      <c r="C6" s="439">
        <v>15</v>
      </c>
      <c r="D6" s="441">
        <v>3</v>
      </c>
      <c r="E6" s="443">
        <v>13</v>
      </c>
    </row>
    <row r="7" spans="1:9" x14ac:dyDescent="0.2">
      <c r="A7" s="17" t="s">
        <v>750</v>
      </c>
      <c r="B7" s="437">
        <v>44</v>
      </c>
      <c r="C7" s="439">
        <v>7</v>
      </c>
      <c r="D7" s="441">
        <v>0</v>
      </c>
      <c r="E7" s="443">
        <v>6</v>
      </c>
    </row>
    <row r="8" spans="1:9" ht="51" x14ac:dyDescent="0.2">
      <c r="A8" s="17" t="s">
        <v>751</v>
      </c>
      <c r="B8" s="437">
        <v>180</v>
      </c>
      <c r="C8" s="439">
        <v>15</v>
      </c>
      <c r="D8" s="441">
        <v>31</v>
      </c>
      <c r="E8" s="443">
        <v>12</v>
      </c>
    </row>
    <row r="9" spans="1:9" ht="51" x14ac:dyDescent="0.2">
      <c r="A9" s="17" t="s">
        <v>752</v>
      </c>
      <c r="B9" s="437">
        <v>58</v>
      </c>
      <c r="C9" s="439">
        <v>3</v>
      </c>
      <c r="D9" s="441">
        <v>21</v>
      </c>
      <c r="E9" s="443">
        <v>1</v>
      </c>
    </row>
    <row r="10" spans="1:9" x14ac:dyDescent="0.2">
      <c r="A10" s="17" t="s">
        <v>753</v>
      </c>
      <c r="B10" s="437" t="s">
        <v>60</v>
      </c>
      <c r="C10" s="439" t="s">
        <v>60</v>
      </c>
      <c r="D10" s="441">
        <v>96</v>
      </c>
      <c r="E10" s="443" t="s">
        <v>60</v>
      </c>
    </row>
    <row r="11" spans="1:9" x14ac:dyDescent="0.2">
      <c r="A11" s="17" t="s">
        <v>754</v>
      </c>
      <c r="B11" s="437">
        <v>29</v>
      </c>
      <c r="C11" s="439">
        <v>0</v>
      </c>
      <c r="D11" s="441">
        <v>82</v>
      </c>
      <c r="E11" s="443">
        <v>5</v>
      </c>
    </row>
    <row r="12" spans="1:9" x14ac:dyDescent="0.2">
      <c r="A12" s="6" t="s">
        <v>628</v>
      </c>
      <c r="B12" s="436">
        <v>365</v>
      </c>
      <c r="C12" s="438">
        <v>21</v>
      </c>
      <c r="D12" s="440">
        <v>211</v>
      </c>
      <c r="E12" s="442">
        <v>28</v>
      </c>
    </row>
    <row r="13" spans="1:9" x14ac:dyDescent="0.2">
      <c r="A13" s="610" t="s">
        <v>430</v>
      </c>
      <c r="B13" s="609"/>
      <c r="C13" s="609"/>
      <c r="D13" s="609"/>
      <c r="E13" s="609"/>
    </row>
  </sheetData>
  <mergeCells count="4">
    <mergeCell ref="G1:I2"/>
    <mergeCell ref="A1:E1"/>
    <mergeCell ref="A3:E3"/>
    <mergeCell ref="A13:E13"/>
  </mergeCells>
  <pageMargins left="0.6" right="0.79" top="0.79" bottom="1.06" header="0.3" footer="0.3"/>
  <pageSetup paperSize="9" fitToWidth="0" fitToHeight="0" orientation="portrait" horizontalDpi="300" verticalDpi="30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sqref="A1:E1"/>
    </sheetView>
  </sheetViews>
  <sheetFormatPr baseColWidth="10" defaultColWidth="9.140625" defaultRowHeight="12.75" x14ac:dyDescent="0.2"/>
  <cols>
    <col min="1" max="1" width="31.7109375" customWidth="1"/>
    <col min="2" max="2" width="12.7109375" customWidth="1"/>
    <col min="3" max="3" width="16.7109375" customWidth="1"/>
    <col min="4" max="5" width="12.7109375" customWidth="1"/>
  </cols>
  <sheetData>
    <row r="1" spans="1:9" ht="39" customHeight="1" x14ac:dyDescent="0.2">
      <c r="A1" s="612" t="s">
        <v>755</v>
      </c>
      <c r="B1" s="609"/>
      <c r="C1" s="609"/>
      <c r="D1" s="609"/>
      <c r="E1" s="609"/>
      <c r="G1" s="611" t="str">
        <f>HYPERLINK("#'sommaire'!A1", "Retour sommaire")</f>
        <v>Retour sommaire</v>
      </c>
      <c r="H1" s="609"/>
      <c r="I1" s="609"/>
    </row>
    <row r="2" spans="1:9" x14ac:dyDescent="0.2">
      <c r="G2" s="609"/>
      <c r="H2" s="609"/>
      <c r="I2" s="609"/>
    </row>
    <row r="3" spans="1:9" x14ac:dyDescent="0.2">
      <c r="A3" s="619" t="s">
        <v>24</v>
      </c>
      <c r="B3" s="609"/>
      <c r="C3" s="609"/>
      <c r="D3" s="609"/>
      <c r="E3" s="609"/>
    </row>
    <row r="4" spans="1:9" ht="63.75" x14ac:dyDescent="0.2">
      <c r="A4" s="4" t="s">
        <v>756</v>
      </c>
      <c r="B4" s="4" t="s">
        <v>466</v>
      </c>
      <c r="C4" s="4" t="s">
        <v>467</v>
      </c>
      <c r="D4" s="4" t="s">
        <v>71</v>
      </c>
      <c r="E4" s="4" t="s">
        <v>72</v>
      </c>
    </row>
    <row r="5" spans="1:9" ht="38.25" x14ac:dyDescent="0.2">
      <c r="A5" s="17" t="s">
        <v>757</v>
      </c>
      <c r="B5" s="445">
        <v>172</v>
      </c>
      <c r="C5" s="447">
        <v>9</v>
      </c>
      <c r="D5" s="449">
        <v>118</v>
      </c>
      <c r="E5" s="451">
        <v>16</v>
      </c>
    </row>
    <row r="6" spans="1:9" ht="38.25" x14ac:dyDescent="0.2">
      <c r="A6" s="17" t="s">
        <v>758</v>
      </c>
      <c r="B6" s="445">
        <v>54</v>
      </c>
      <c r="C6" s="447">
        <v>1</v>
      </c>
      <c r="D6" s="449">
        <v>37</v>
      </c>
      <c r="E6" s="451">
        <v>3</v>
      </c>
    </row>
    <row r="7" spans="1:9" ht="38.25" x14ac:dyDescent="0.2">
      <c r="A7" s="17" t="s">
        <v>759</v>
      </c>
      <c r="B7" s="445">
        <v>65</v>
      </c>
      <c r="C7" s="447"/>
      <c r="D7" s="449">
        <v>31</v>
      </c>
      <c r="E7" s="451">
        <v>3</v>
      </c>
    </row>
    <row r="8" spans="1:9" x14ac:dyDescent="0.2">
      <c r="A8" s="17" t="s">
        <v>760</v>
      </c>
      <c r="B8" s="445">
        <v>33</v>
      </c>
      <c r="C8" s="447"/>
      <c r="D8" s="449">
        <v>22</v>
      </c>
      <c r="E8" s="451">
        <v>6</v>
      </c>
    </row>
    <row r="9" spans="1:9" x14ac:dyDescent="0.2">
      <c r="A9" s="6" t="s">
        <v>75</v>
      </c>
      <c r="B9" s="444">
        <v>324</v>
      </c>
      <c r="C9" s="446">
        <v>10</v>
      </c>
      <c r="D9" s="448">
        <v>208</v>
      </c>
      <c r="E9" s="450">
        <v>28</v>
      </c>
    </row>
    <row r="10" spans="1:9" x14ac:dyDescent="0.2">
      <c r="A10" s="610" t="s">
        <v>430</v>
      </c>
      <c r="B10" s="609"/>
      <c r="C10" s="609"/>
      <c r="D10" s="609"/>
      <c r="E10" s="609"/>
    </row>
  </sheetData>
  <mergeCells count="4">
    <mergeCell ref="G1:I2"/>
    <mergeCell ref="A1:E1"/>
    <mergeCell ref="A3:E3"/>
    <mergeCell ref="A10:E10"/>
  </mergeCells>
  <pageMargins left="0.6" right="0.79" top="0.79" bottom="1.06" header="0.3" footer="0.3"/>
  <pageSetup paperSize="9" fitToWidth="0" fitToHeight="0" orientation="portrait" horizontalDpi="300" verticalDpi="30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sqref="A1:G1"/>
    </sheetView>
  </sheetViews>
  <sheetFormatPr baseColWidth="10" defaultColWidth="9.140625" defaultRowHeight="12.75" x14ac:dyDescent="0.2"/>
  <cols>
    <col min="1" max="1" width="13.7109375" customWidth="1"/>
    <col min="2" max="2" width="18.7109375" customWidth="1"/>
    <col min="3" max="3" width="12.7109375" customWidth="1"/>
    <col min="4" max="7" width="10.7109375" customWidth="1"/>
  </cols>
  <sheetData>
    <row r="1" spans="1:11" ht="39" customHeight="1" x14ac:dyDescent="0.2">
      <c r="A1" s="612" t="s">
        <v>761</v>
      </c>
      <c r="B1" s="609"/>
      <c r="C1" s="609"/>
      <c r="D1" s="609"/>
      <c r="E1" s="609"/>
      <c r="F1" s="609"/>
      <c r="G1" s="609"/>
      <c r="I1" s="611" t="str">
        <f>HYPERLINK("#'sommaire'!A1", "Retour sommaire")</f>
        <v>Retour sommaire</v>
      </c>
      <c r="J1" s="609"/>
      <c r="K1" s="609"/>
    </row>
    <row r="2" spans="1:11" x14ac:dyDescent="0.2">
      <c r="I2" s="609"/>
      <c r="J2" s="609"/>
      <c r="K2" s="609"/>
    </row>
    <row r="3" spans="1:11" ht="25.5" x14ac:dyDescent="0.2">
      <c r="A3" s="4" t="s">
        <v>48</v>
      </c>
      <c r="B3" s="4" t="s">
        <v>19</v>
      </c>
      <c r="C3" s="4" t="s">
        <v>20</v>
      </c>
      <c r="D3" s="4" t="s">
        <v>21</v>
      </c>
      <c r="E3" s="4" t="s">
        <v>22</v>
      </c>
      <c r="F3" s="4" t="s">
        <v>23</v>
      </c>
      <c r="G3" s="4" t="s">
        <v>195</v>
      </c>
    </row>
    <row r="4" spans="1:11" ht="25.5" x14ac:dyDescent="0.2">
      <c r="A4" s="613"/>
      <c r="B4" s="613"/>
      <c r="C4" s="5" t="s">
        <v>24</v>
      </c>
      <c r="D4" s="5" t="s">
        <v>25</v>
      </c>
      <c r="E4" s="5" t="s">
        <v>26</v>
      </c>
      <c r="F4" s="5" t="s">
        <v>27</v>
      </c>
      <c r="G4" s="5" t="s">
        <v>52</v>
      </c>
    </row>
    <row r="5" spans="1:11" x14ac:dyDescent="0.2">
      <c r="A5" s="614" t="s">
        <v>762</v>
      </c>
      <c r="B5" s="17" t="s">
        <v>763</v>
      </c>
      <c r="C5" s="453">
        <v>5</v>
      </c>
      <c r="D5" s="455">
        <v>67.816999999999993</v>
      </c>
      <c r="E5" s="457">
        <v>155.28</v>
      </c>
      <c r="F5" s="459">
        <v>2.2896913753188701</v>
      </c>
      <c r="G5" s="461">
        <v>23.7551056519752</v>
      </c>
    </row>
    <row r="6" spans="1:11" x14ac:dyDescent="0.2">
      <c r="A6" s="614" t="s">
        <v>762</v>
      </c>
      <c r="B6" s="17" t="s">
        <v>764</v>
      </c>
      <c r="C6" s="453">
        <v>4</v>
      </c>
      <c r="D6" s="455">
        <v>45.21</v>
      </c>
      <c r="E6" s="457">
        <v>103.005</v>
      </c>
      <c r="F6" s="459">
        <v>2.27836761778368</v>
      </c>
      <c r="G6" s="461">
        <v>7.5646980756469802</v>
      </c>
    </row>
    <row r="7" spans="1:11" x14ac:dyDescent="0.2">
      <c r="A7" s="614" t="s">
        <v>762</v>
      </c>
      <c r="B7" s="17" t="s">
        <v>765</v>
      </c>
      <c r="C7" s="453">
        <v>4</v>
      </c>
      <c r="D7" s="455">
        <v>7.6829999999999998</v>
      </c>
      <c r="E7" s="457">
        <v>27.218</v>
      </c>
      <c r="F7" s="459">
        <v>3.5426265781595698</v>
      </c>
      <c r="G7" s="461">
        <v>52.843941168814297</v>
      </c>
    </row>
    <row r="8" spans="1:11" x14ac:dyDescent="0.2">
      <c r="A8" s="614" t="s">
        <v>766</v>
      </c>
      <c r="B8" s="17" t="s">
        <v>767</v>
      </c>
      <c r="C8" s="453">
        <v>4</v>
      </c>
      <c r="D8" s="455">
        <v>0.41860000000000003</v>
      </c>
      <c r="E8" s="457">
        <v>25.766999999999999</v>
      </c>
      <c r="F8" s="459">
        <v>61.555183946488299</v>
      </c>
      <c r="G8" s="461">
        <v>0</v>
      </c>
    </row>
    <row r="9" spans="1:11" ht="25.5" x14ac:dyDescent="0.2">
      <c r="A9" s="614" t="s">
        <v>766</v>
      </c>
      <c r="B9" s="17" t="s">
        <v>768</v>
      </c>
      <c r="C9" s="453">
        <v>5</v>
      </c>
      <c r="D9" s="455">
        <v>3.5569999999999999</v>
      </c>
      <c r="E9" s="457">
        <v>1003.2430000000001</v>
      </c>
      <c r="F9" s="459">
        <v>282.04751194827099</v>
      </c>
      <c r="G9" s="461">
        <v>1.7660950238965401</v>
      </c>
    </row>
    <row r="10" spans="1:11" x14ac:dyDescent="0.2">
      <c r="A10" s="17" t="s">
        <v>769</v>
      </c>
      <c r="B10" s="17" t="s">
        <v>769</v>
      </c>
      <c r="C10" s="453">
        <v>147</v>
      </c>
      <c r="D10" s="455">
        <v>63.463000000000001</v>
      </c>
      <c r="E10" s="457">
        <v>7599.9660000000003</v>
      </c>
      <c r="F10" s="459">
        <v>119.754282022596</v>
      </c>
      <c r="G10" s="461">
        <v>12.6148937175992</v>
      </c>
    </row>
    <row r="11" spans="1:11" x14ac:dyDescent="0.2">
      <c r="A11" s="6" t="s">
        <v>75</v>
      </c>
      <c r="B11" s="6"/>
      <c r="C11" s="452">
        <v>159</v>
      </c>
      <c r="D11" s="454">
        <v>188.14859999999999</v>
      </c>
      <c r="E11" s="456">
        <v>8914.4789999999994</v>
      </c>
      <c r="F11" s="458">
        <v>47.379991134667002</v>
      </c>
      <c r="G11" s="460">
        <v>16.8263861649781</v>
      </c>
    </row>
    <row r="12" spans="1:11" x14ac:dyDescent="0.2">
      <c r="A12" s="608" t="s">
        <v>770</v>
      </c>
      <c r="B12" s="609"/>
      <c r="C12" s="609"/>
      <c r="D12" s="609"/>
      <c r="E12" s="609"/>
      <c r="F12" s="609"/>
      <c r="G12" s="609"/>
    </row>
    <row r="13" spans="1:11" x14ac:dyDescent="0.2">
      <c r="A13" s="608" t="s">
        <v>43</v>
      </c>
      <c r="B13" s="609"/>
      <c r="C13" s="609"/>
      <c r="D13" s="609"/>
      <c r="E13" s="609"/>
      <c r="F13" s="609"/>
      <c r="G13" s="609"/>
    </row>
    <row r="14" spans="1:11" x14ac:dyDescent="0.2">
      <c r="A14" s="608" t="s">
        <v>44</v>
      </c>
      <c r="B14" s="609"/>
      <c r="C14" s="609"/>
      <c r="D14" s="609"/>
      <c r="E14" s="609"/>
      <c r="F14" s="609"/>
      <c r="G14" s="609"/>
    </row>
    <row r="15" spans="1:11" x14ac:dyDescent="0.2">
      <c r="A15" s="608" t="s">
        <v>45</v>
      </c>
      <c r="B15" s="609"/>
      <c r="C15" s="609"/>
      <c r="D15" s="609"/>
      <c r="E15" s="609"/>
      <c r="F15" s="609"/>
      <c r="G15" s="609"/>
    </row>
    <row r="16" spans="1:11" ht="12.75" customHeight="1" x14ac:dyDescent="0.2">
      <c r="A16" s="608" t="s">
        <v>771</v>
      </c>
      <c r="B16" s="609"/>
      <c r="C16" s="609"/>
      <c r="D16" s="609"/>
      <c r="E16" s="609"/>
      <c r="F16" s="609"/>
      <c r="G16" s="609"/>
    </row>
    <row r="17" spans="1:7" x14ac:dyDescent="0.2">
      <c r="A17" s="608" t="s">
        <v>772</v>
      </c>
      <c r="B17" s="609"/>
      <c r="C17" s="609"/>
      <c r="D17" s="609"/>
      <c r="E17" s="609"/>
      <c r="F17" s="609"/>
      <c r="G17" s="609"/>
    </row>
    <row r="18" spans="1:7" x14ac:dyDescent="0.2">
      <c r="A18" s="608" t="s">
        <v>773</v>
      </c>
      <c r="B18" s="609"/>
      <c r="C18" s="609"/>
      <c r="D18" s="609"/>
      <c r="E18" s="609"/>
      <c r="F18" s="609"/>
      <c r="G18" s="609"/>
    </row>
    <row r="19" spans="1:7" x14ac:dyDescent="0.2">
      <c r="A19" s="608" t="s">
        <v>45</v>
      </c>
      <c r="B19" s="609"/>
      <c r="C19" s="609"/>
      <c r="D19" s="609"/>
      <c r="E19" s="609"/>
      <c r="F19" s="609"/>
      <c r="G19" s="609"/>
    </row>
    <row r="20" spans="1:7" ht="28.5" customHeight="1" x14ac:dyDescent="0.2">
      <c r="A20" s="608" t="s">
        <v>774</v>
      </c>
      <c r="B20" s="609"/>
      <c r="C20" s="609"/>
      <c r="D20" s="609"/>
      <c r="E20" s="609"/>
      <c r="F20" s="609"/>
      <c r="G20" s="609"/>
    </row>
    <row r="21" spans="1:7" x14ac:dyDescent="0.2">
      <c r="A21" s="608" t="s">
        <v>45</v>
      </c>
      <c r="B21" s="609"/>
      <c r="C21" s="609"/>
      <c r="D21" s="609"/>
      <c r="E21" s="609"/>
      <c r="F21" s="609"/>
      <c r="G21" s="609"/>
    </row>
    <row r="22" spans="1:7" x14ac:dyDescent="0.2">
      <c r="A22" s="610" t="s">
        <v>775</v>
      </c>
      <c r="B22" s="609"/>
      <c r="C22" s="609"/>
      <c r="D22" s="609"/>
      <c r="E22" s="609"/>
      <c r="F22" s="609"/>
      <c r="G22" s="609"/>
    </row>
  </sheetData>
  <mergeCells count="16">
    <mergeCell ref="I1:K2"/>
    <mergeCell ref="A1:G1"/>
    <mergeCell ref="A4:B4"/>
    <mergeCell ref="A12:G12"/>
    <mergeCell ref="A13:G13"/>
    <mergeCell ref="A19:G19"/>
    <mergeCell ref="A20:G20"/>
    <mergeCell ref="A21:G21"/>
    <mergeCell ref="A22:G22"/>
    <mergeCell ref="A5:A7"/>
    <mergeCell ref="A8:A9"/>
    <mergeCell ref="A14:G14"/>
    <mergeCell ref="A15:G15"/>
    <mergeCell ref="A16:G16"/>
    <mergeCell ref="A17:G17"/>
    <mergeCell ref="A18:G18"/>
  </mergeCells>
  <pageMargins left="0.6" right="0.79" top="0.79" bottom="1.06" header="0.3" footer="0.3"/>
  <pageSetup paperSize="9" fitToWidth="0" fitToHeight="0" orientation="portrait" horizontalDpi="300" verticalDpi="30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A46" sqref="A46:G46"/>
    </sheetView>
  </sheetViews>
  <sheetFormatPr baseColWidth="10" defaultColWidth="9.140625" defaultRowHeight="12.75" x14ac:dyDescent="0.2"/>
  <cols>
    <col min="1" max="1" width="10.7109375" customWidth="1"/>
    <col min="2" max="2" width="29.7109375" customWidth="1"/>
    <col min="3" max="3" width="12.7109375" customWidth="1"/>
    <col min="4" max="7" width="8.7109375" customWidth="1"/>
  </cols>
  <sheetData>
    <row r="1" spans="1:11" ht="39" customHeight="1" x14ac:dyDescent="0.2">
      <c r="A1" s="612" t="s">
        <v>776</v>
      </c>
      <c r="B1" s="609"/>
      <c r="C1" s="609"/>
      <c r="D1" s="609"/>
      <c r="E1" s="609"/>
      <c r="F1" s="609"/>
      <c r="G1" s="609"/>
      <c r="I1" s="611" t="str">
        <f>HYPERLINK("#'sommaire'!A1", "Retour sommaire")</f>
        <v>Retour sommaire</v>
      </c>
      <c r="J1" s="609"/>
      <c r="K1" s="609"/>
    </row>
    <row r="2" spans="1:11" x14ac:dyDescent="0.2">
      <c r="I2" s="609"/>
      <c r="J2" s="609"/>
      <c r="K2" s="609"/>
    </row>
    <row r="3" spans="1:11" ht="38.25" x14ac:dyDescent="0.2">
      <c r="A3" s="4" t="s">
        <v>48</v>
      </c>
      <c r="B3" s="4" t="s">
        <v>432</v>
      </c>
      <c r="C3" s="4" t="s">
        <v>20</v>
      </c>
      <c r="D3" s="4" t="s">
        <v>21</v>
      </c>
      <c r="E3" s="4" t="s">
        <v>22</v>
      </c>
      <c r="F3" s="4" t="s">
        <v>23</v>
      </c>
      <c r="G3" s="4" t="s">
        <v>195</v>
      </c>
    </row>
    <row r="4" spans="1:11" ht="25.5" x14ac:dyDescent="0.2">
      <c r="A4" s="613"/>
      <c r="B4" s="613"/>
      <c r="C4" s="5" t="s">
        <v>24</v>
      </c>
      <c r="D4" s="5" t="s">
        <v>25</v>
      </c>
      <c r="E4" s="5" t="s">
        <v>26</v>
      </c>
      <c r="F4" s="5" t="s">
        <v>27</v>
      </c>
      <c r="G4" s="5" t="s">
        <v>52</v>
      </c>
    </row>
    <row r="5" spans="1:11" ht="25.5" x14ac:dyDescent="0.2">
      <c r="A5" s="17" t="s">
        <v>762</v>
      </c>
      <c r="B5" s="17" t="s">
        <v>777</v>
      </c>
      <c r="C5" s="464">
        <v>9</v>
      </c>
      <c r="D5" s="467">
        <v>120.71</v>
      </c>
      <c r="E5" s="470">
        <v>285.50299999999999</v>
      </c>
      <c r="F5" s="473">
        <v>2.3651975809792098</v>
      </c>
      <c r="G5" s="476">
        <v>19.542705658189</v>
      </c>
    </row>
    <row r="6" spans="1:11" ht="38.25" x14ac:dyDescent="0.2">
      <c r="A6" s="614" t="s">
        <v>766</v>
      </c>
      <c r="B6" s="17" t="s">
        <v>778</v>
      </c>
      <c r="C6" s="464">
        <v>3</v>
      </c>
      <c r="D6" s="467">
        <v>3.2010000000000001</v>
      </c>
      <c r="E6" s="470">
        <v>860.74300000000005</v>
      </c>
      <c r="F6" s="473">
        <v>268.89815682599198</v>
      </c>
      <c r="G6" s="476">
        <v>1.3052171196501099</v>
      </c>
    </row>
    <row r="7" spans="1:11" ht="25.5" x14ac:dyDescent="0.2">
      <c r="A7" s="614" t="s">
        <v>766</v>
      </c>
      <c r="B7" s="17" t="s">
        <v>779</v>
      </c>
      <c r="C7" s="464">
        <v>4</v>
      </c>
      <c r="D7" s="467">
        <v>0.77459999999999996</v>
      </c>
      <c r="E7" s="470">
        <v>168.267</v>
      </c>
      <c r="F7" s="473">
        <v>217.23082881487201</v>
      </c>
      <c r="G7" s="476">
        <v>2.71624064033049</v>
      </c>
    </row>
    <row r="8" spans="1:11" x14ac:dyDescent="0.2">
      <c r="A8" s="614" t="s">
        <v>769</v>
      </c>
      <c r="B8" s="17" t="s">
        <v>136</v>
      </c>
      <c r="C8" s="464">
        <v>44</v>
      </c>
      <c r="D8" s="467">
        <v>15.795</v>
      </c>
      <c r="E8" s="470">
        <v>1838.4449999999999</v>
      </c>
      <c r="F8" s="473">
        <v>116.39411206077899</v>
      </c>
      <c r="G8" s="476">
        <v>7.4732510288065797</v>
      </c>
    </row>
    <row r="9" spans="1:11" x14ac:dyDescent="0.2">
      <c r="A9" s="666" t="s">
        <v>769</v>
      </c>
      <c r="B9" s="8" t="s">
        <v>780</v>
      </c>
      <c r="C9" s="463">
        <v>20</v>
      </c>
      <c r="D9" s="466">
        <v>7.8879999999999999</v>
      </c>
      <c r="E9" s="469">
        <v>917.52300000000002</v>
      </c>
      <c r="F9" s="472">
        <v>116.31883874239399</v>
      </c>
      <c r="G9" s="475">
        <v>10.501521298174399</v>
      </c>
    </row>
    <row r="10" spans="1:11" x14ac:dyDescent="0.2">
      <c r="A10" s="666" t="s">
        <v>769</v>
      </c>
      <c r="B10" s="8" t="s">
        <v>781</v>
      </c>
      <c r="C10" s="463">
        <v>10</v>
      </c>
      <c r="D10" s="466">
        <v>5.3239999999999998</v>
      </c>
      <c r="E10" s="469">
        <v>607.30799999999999</v>
      </c>
      <c r="F10" s="472">
        <v>114.06987227648401</v>
      </c>
      <c r="G10" s="475">
        <v>4.07550713749061</v>
      </c>
    </row>
    <row r="11" spans="1:11" x14ac:dyDescent="0.2">
      <c r="A11" s="666" t="s">
        <v>769</v>
      </c>
      <c r="B11" s="8" t="s">
        <v>782</v>
      </c>
      <c r="C11" s="463">
        <v>4</v>
      </c>
      <c r="D11" s="466">
        <v>1.1859999999999999</v>
      </c>
      <c r="E11" s="469">
        <v>125.611</v>
      </c>
      <c r="F11" s="472">
        <v>105.911467116357</v>
      </c>
      <c r="G11" s="475">
        <v>1.07925801011804</v>
      </c>
    </row>
    <row r="12" spans="1:11" ht="25.5" x14ac:dyDescent="0.2">
      <c r="A12" s="666" t="s">
        <v>769</v>
      </c>
      <c r="B12" s="8" t="s">
        <v>783</v>
      </c>
      <c r="C12" s="463">
        <v>5</v>
      </c>
      <c r="D12" s="466">
        <v>0.87</v>
      </c>
      <c r="E12" s="469">
        <v>115.554</v>
      </c>
      <c r="F12" s="472">
        <v>132.820689655172</v>
      </c>
      <c r="G12" s="475">
        <v>7.8758620689655201</v>
      </c>
    </row>
    <row r="13" spans="1:11" x14ac:dyDescent="0.2">
      <c r="A13" s="666" t="s">
        <v>769</v>
      </c>
      <c r="B13" s="8" t="s">
        <v>784</v>
      </c>
      <c r="C13" s="463">
        <v>5</v>
      </c>
      <c r="D13" s="466">
        <v>0.52700000000000002</v>
      </c>
      <c r="E13" s="469">
        <v>72.448999999999998</v>
      </c>
      <c r="F13" s="472">
        <v>137.474383301708</v>
      </c>
      <c r="G13" s="475">
        <v>10.197343453510401</v>
      </c>
    </row>
    <row r="14" spans="1:11" x14ac:dyDescent="0.2">
      <c r="A14" s="614" t="s">
        <v>769</v>
      </c>
      <c r="B14" s="17" t="s">
        <v>785</v>
      </c>
      <c r="C14" s="464">
        <v>9</v>
      </c>
      <c r="D14" s="467">
        <v>11.903</v>
      </c>
      <c r="E14" s="470">
        <v>1018.9349999999999</v>
      </c>
      <c r="F14" s="473">
        <v>85.603209274972698</v>
      </c>
      <c r="G14" s="476">
        <v>44.180458707888803</v>
      </c>
    </row>
    <row r="15" spans="1:11" ht="25.5" x14ac:dyDescent="0.2">
      <c r="A15" s="614" t="s">
        <v>769</v>
      </c>
      <c r="B15" s="17" t="s">
        <v>786</v>
      </c>
      <c r="C15" s="464">
        <v>10</v>
      </c>
      <c r="D15" s="467">
        <v>11.68</v>
      </c>
      <c r="E15" s="470">
        <v>1413.798</v>
      </c>
      <c r="F15" s="473">
        <v>121.044349315068</v>
      </c>
      <c r="G15" s="476">
        <v>2.2268835616438398</v>
      </c>
    </row>
    <row r="16" spans="1:11" x14ac:dyDescent="0.2">
      <c r="A16" s="614" t="s">
        <v>769</v>
      </c>
      <c r="B16" s="17" t="s">
        <v>135</v>
      </c>
      <c r="C16" s="464">
        <v>39</v>
      </c>
      <c r="D16" s="467">
        <v>9.4809999999999999</v>
      </c>
      <c r="E16" s="470">
        <v>1383.8520000000001</v>
      </c>
      <c r="F16" s="473">
        <v>145.96055268431601</v>
      </c>
      <c r="G16" s="476">
        <v>6.03723235945575</v>
      </c>
    </row>
    <row r="17" spans="1:7" x14ac:dyDescent="0.2">
      <c r="A17" s="666" t="s">
        <v>769</v>
      </c>
      <c r="B17" s="8" t="s">
        <v>787</v>
      </c>
      <c r="C17" s="463">
        <v>6</v>
      </c>
      <c r="D17" s="466">
        <v>3.3839999999999999</v>
      </c>
      <c r="E17" s="469">
        <v>512.03099999999995</v>
      </c>
      <c r="F17" s="472">
        <v>151.30939716312099</v>
      </c>
      <c r="G17" s="475">
        <v>4.3256501182033098</v>
      </c>
    </row>
    <row r="18" spans="1:7" x14ac:dyDescent="0.2">
      <c r="A18" s="666" t="s">
        <v>769</v>
      </c>
      <c r="B18" s="8" t="s">
        <v>788</v>
      </c>
      <c r="C18" s="463">
        <v>8</v>
      </c>
      <c r="D18" s="466">
        <v>2.4670000000000001</v>
      </c>
      <c r="E18" s="469">
        <v>322.89800000000002</v>
      </c>
      <c r="F18" s="472">
        <v>130.88690717470601</v>
      </c>
      <c r="G18" s="475">
        <v>7.2882042967166596</v>
      </c>
    </row>
    <row r="19" spans="1:7" x14ac:dyDescent="0.2">
      <c r="A19" s="666" t="s">
        <v>769</v>
      </c>
      <c r="B19" s="8" t="s">
        <v>789</v>
      </c>
      <c r="C19" s="463">
        <v>8</v>
      </c>
      <c r="D19" s="466">
        <v>1.3360000000000001</v>
      </c>
      <c r="E19" s="469">
        <v>180.245</v>
      </c>
      <c r="F19" s="472">
        <v>134.91392215568899</v>
      </c>
      <c r="G19" s="475">
        <v>4.9745508982035904</v>
      </c>
    </row>
    <row r="20" spans="1:7" x14ac:dyDescent="0.2">
      <c r="A20" s="666" t="s">
        <v>769</v>
      </c>
      <c r="B20" s="8" t="s">
        <v>790</v>
      </c>
      <c r="C20" s="463">
        <v>9</v>
      </c>
      <c r="D20" s="466">
        <v>1.081</v>
      </c>
      <c r="E20" s="469">
        <v>191.83699999999999</v>
      </c>
      <c r="F20" s="472">
        <v>177.46253469010199</v>
      </c>
      <c r="G20" s="475">
        <v>6.6096207215541201</v>
      </c>
    </row>
    <row r="21" spans="1:7" x14ac:dyDescent="0.2">
      <c r="A21" s="666" t="s">
        <v>769</v>
      </c>
      <c r="B21" s="8" t="s">
        <v>791</v>
      </c>
      <c r="C21" s="463">
        <v>3</v>
      </c>
      <c r="D21" s="466">
        <v>0.78400000000000003</v>
      </c>
      <c r="E21" s="469">
        <v>121.63500000000001</v>
      </c>
      <c r="F21" s="472">
        <v>155.146683673469</v>
      </c>
      <c r="G21" s="475">
        <v>9.6938775510204103</v>
      </c>
    </row>
    <row r="22" spans="1:7" ht="25.5" x14ac:dyDescent="0.2">
      <c r="A22" s="666" t="s">
        <v>769</v>
      </c>
      <c r="B22" s="8" t="s">
        <v>792</v>
      </c>
      <c r="C22" s="463">
        <v>5</v>
      </c>
      <c r="D22" s="466">
        <v>0.42899999999999999</v>
      </c>
      <c r="E22" s="469">
        <v>55.206000000000003</v>
      </c>
      <c r="F22" s="472">
        <v>128.68531468531501</v>
      </c>
      <c r="G22" s="475">
        <v>7.5291375291375298</v>
      </c>
    </row>
    <row r="23" spans="1:7" x14ac:dyDescent="0.2">
      <c r="A23" s="614" t="s">
        <v>769</v>
      </c>
      <c r="B23" s="17" t="s">
        <v>125</v>
      </c>
      <c r="C23" s="464">
        <v>18</v>
      </c>
      <c r="D23" s="467">
        <v>6.19</v>
      </c>
      <c r="E23" s="470">
        <v>814.92499999999995</v>
      </c>
      <c r="F23" s="473">
        <v>131.65185783521801</v>
      </c>
      <c r="G23" s="476">
        <v>3.8012924071082401</v>
      </c>
    </row>
    <row r="24" spans="1:7" x14ac:dyDescent="0.2">
      <c r="A24" s="666" t="s">
        <v>769</v>
      </c>
      <c r="B24" s="8" t="s">
        <v>793</v>
      </c>
      <c r="C24" s="463">
        <v>11</v>
      </c>
      <c r="D24" s="466">
        <v>3.6709999999999998</v>
      </c>
      <c r="E24" s="469">
        <v>466.84800000000001</v>
      </c>
      <c r="F24" s="472">
        <v>127.17188776899999</v>
      </c>
      <c r="G24" s="475">
        <v>5.5924816126396104</v>
      </c>
    </row>
    <row r="25" spans="1:7" x14ac:dyDescent="0.2">
      <c r="A25" s="666" t="s">
        <v>769</v>
      </c>
      <c r="B25" s="8" t="s">
        <v>794</v>
      </c>
      <c r="C25" s="463">
        <v>4</v>
      </c>
      <c r="D25" s="466">
        <v>1.369</v>
      </c>
      <c r="E25" s="469">
        <v>189.077</v>
      </c>
      <c r="F25" s="472">
        <v>138.11322132943801</v>
      </c>
      <c r="G25" s="475">
        <v>1.0956902848794701</v>
      </c>
    </row>
    <row r="26" spans="1:7" x14ac:dyDescent="0.2">
      <c r="A26" s="666" t="s">
        <v>769</v>
      </c>
      <c r="B26" s="8" t="s">
        <v>795</v>
      </c>
      <c r="C26" s="463">
        <v>3</v>
      </c>
      <c r="D26" s="466">
        <v>1.1499999999999999</v>
      </c>
      <c r="E26" s="469">
        <v>159</v>
      </c>
      <c r="F26" s="472">
        <v>138.26086956521701</v>
      </c>
      <c r="G26" s="475">
        <v>1.3043478260869601</v>
      </c>
    </row>
    <row r="27" spans="1:7" x14ac:dyDescent="0.2">
      <c r="A27" s="614" t="s">
        <v>769</v>
      </c>
      <c r="B27" s="17" t="s">
        <v>134</v>
      </c>
      <c r="C27" s="464">
        <v>16</v>
      </c>
      <c r="D27" s="467">
        <v>4.9420000000000002</v>
      </c>
      <c r="E27" s="470">
        <v>616.86500000000001</v>
      </c>
      <c r="F27" s="473">
        <v>124.820922703359</v>
      </c>
      <c r="G27" s="476">
        <v>5.9433427762039699</v>
      </c>
    </row>
    <row r="28" spans="1:7" ht="25.5" x14ac:dyDescent="0.2">
      <c r="A28" s="666" t="s">
        <v>769</v>
      </c>
      <c r="B28" s="8" t="s">
        <v>796</v>
      </c>
      <c r="C28" s="463">
        <v>5</v>
      </c>
      <c r="D28" s="466">
        <v>2.04</v>
      </c>
      <c r="E28" s="469">
        <v>276.77100000000002</v>
      </c>
      <c r="F28" s="472">
        <v>135.672058823529</v>
      </c>
      <c r="G28" s="475">
        <v>0.37156862745098002</v>
      </c>
    </row>
    <row r="29" spans="1:7" x14ac:dyDescent="0.2">
      <c r="A29" s="666" t="s">
        <v>769</v>
      </c>
      <c r="B29" s="8" t="s">
        <v>797</v>
      </c>
      <c r="C29" s="463">
        <v>3</v>
      </c>
      <c r="D29" s="466">
        <v>1.1100000000000001</v>
      </c>
      <c r="E29" s="469">
        <v>108.12</v>
      </c>
      <c r="F29" s="472">
        <v>97.405405405405403</v>
      </c>
      <c r="G29" s="475">
        <v>8.6036036036036005</v>
      </c>
    </row>
    <row r="30" spans="1:7" x14ac:dyDescent="0.2">
      <c r="A30" s="666" t="s">
        <v>769</v>
      </c>
      <c r="B30" s="8" t="s">
        <v>798</v>
      </c>
      <c r="C30" s="463">
        <v>4</v>
      </c>
      <c r="D30" s="466">
        <v>0.97799999999999998</v>
      </c>
      <c r="E30" s="469">
        <v>130.97399999999999</v>
      </c>
      <c r="F30" s="472">
        <v>133.92024539877301</v>
      </c>
      <c r="G30" s="475">
        <v>12.699386503067499</v>
      </c>
    </row>
    <row r="31" spans="1:7" ht="25.5" x14ac:dyDescent="0.2">
      <c r="A31" s="666" t="s">
        <v>769</v>
      </c>
      <c r="B31" s="8" t="s">
        <v>799</v>
      </c>
      <c r="C31" s="463">
        <v>4</v>
      </c>
      <c r="D31" s="466">
        <v>0.81399999999999995</v>
      </c>
      <c r="E31" s="469">
        <v>101</v>
      </c>
      <c r="F31" s="472">
        <v>124.078624078624</v>
      </c>
      <c r="G31" s="475">
        <v>8.1621621621621596</v>
      </c>
    </row>
    <row r="32" spans="1:7" x14ac:dyDescent="0.2">
      <c r="A32" s="614" t="s">
        <v>769</v>
      </c>
      <c r="B32" s="17" t="s">
        <v>129</v>
      </c>
      <c r="C32" s="464">
        <v>3</v>
      </c>
      <c r="D32" s="467">
        <v>1.331</v>
      </c>
      <c r="E32" s="470">
        <v>204.625</v>
      </c>
      <c r="F32" s="473">
        <v>153.73779113448501</v>
      </c>
      <c r="G32" s="476">
        <v>0</v>
      </c>
    </row>
    <row r="33" spans="1:7" ht="25.5" x14ac:dyDescent="0.2">
      <c r="A33" s="614" t="s">
        <v>769</v>
      </c>
      <c r="B33" s="17" t="s">
        <v>140</v>
      </c>
      <c r="C33" s="464">
        <v>3</v>
      </c>
      <c r="D33" s="467">
        <v>1.2609999999999999</v>
      </c>
      <c r="E33" s="470">
        <v>149.232</v>
      </c>
      <c r="F33" s="473">
        <v>118.34417129262501</v>
      </c>
      <c r="G33" s="476">
        <v>3.45598731165741</v>
      </c>
    </row>
    <row r="34" spans="1:7" x14ac:dyDescent="0.2">
      <c r="A34" s="614" t="s">
        <v>769</v>
      </c>
      <c r="B34" s="17" t="s">
        <v>131</v>
      </c>
      <c r="C34" s="464">
        <v>5</v>
      </c>
      <c r="D34" s="467">
        <v>0.88</v>
      </c>
      <c r="E34" s="470">
        <v>159.28899999999999</v>
      </c>
      <c r="F34" s="473">
        <v>181.01022727272701</v>
      </c>
      <c r="G34" s="476">
        <v>18.352272727272702</v>
      </c>
    </row>
    <row r="35" spans="1:7" x14ac:dyDescent="0.2">
      <c r="A35" s="6" t="s">
        <v>75</v>
      </c>
      <c r="B35" s="6"/>
      <c r="C35" s="462">
        <v>159</v>
      </c>
      <c r="D35" s="465">
        <v>188.14859999999999</v>
      </c>
      <c r="E35" s="468">
        <v>8914.4789999999994</v>
      </c>
      <c r="F35" s="471">
        <v>47.379991134667002</v>
      </c>
      <c r="G35" s="474">
        <v>16.8263861649781</v>
      </c>
    </row>
    <row r="36" spans="1:7" x14ac:dyDescent="0.2">
      <c r="A36" s="608" t="s">
        <v>770</v>
      </c>
      <c r="B36" s="609"/>
      <c r="C36" s="609"/>
      <c r="D36" s="609"/>
      <c r="E36" s="609"/>
      <c r="F36" s="609"/>
      <c r="G36" s="609"/>
    </row>
    <row r="37" spans="1:7" x14ac:dyDescent="0.2">
      <c r="A37" s="608" t="s">
        <v>43</v>
      </c>
      <c r="B37" s="609"/>
      <c r="C37" s="609"/>
      <c r="D37" s="609"/>
      <c r="E37" s="609"/>
      <c r="F37" s="609"/>
      <c r="G37" s="609"/>
    </row>
    <row r="38" spans="1:7" x14ac:dyDescent="0.2">
      <c r="A38" s="608" t="s">
        <v>44</v>
      </c>
      <c r="B38" s="609"/>
      <c r="C38" s="609"/>
      <c r="D38" s="609"/>
      <c r="E38" s="609"/>
      <c r="F38" s="609"/>
      <c r="G38" s="609"/>
    </row>
    <row r="39" spans="1:7" x14ac:dyDescent="0.2">
      <c r="A39" s="608" t="s">
        <v>45</v>
      </c>
      <c r="B39" s="609"/>
      <c r="C39" s="609"/>
      <c r="D39" s="609"/>
      <c r="E39" s="609"/>
      <c r="F39" s="609"/>
      <c r="G39" s="609"/>
    </row>
    <row r="40" spans="1:7" x14ac:dyDescent="0.2">
      <c r="A40" s="608" t="s">
        <v>771</v>
      </c>
      <c r="B40" s="609"/>
      <c r="C40" s="609"/>
      <c r="D40" s="609"/>
      <c r="E40" s="609"/>
      <c r="F40" s="609"/>
      <c r="G40" s="609"/>
    </row>
    <row r="41" spans="1:7" x14ac:dyDescent="0.2">
      <c r="A41" s="608" t="s">
        <v>772</v>
      </c>
      <c r="B41" s="609"/>
      <c r="C41" s="609"/>
      <c r="D41" s="609"/>
      <c r="E41" s="609"/>
      <c r="F41" s="609"/>
      <c r="G41" s="609"/>
    </row>
    <row r="42" spans="1:7" x14ac:dyDescent="0.2">
      <c r="A42" s="608" t="s">
        <v>773</v>
      </c>
      <c r="B42" s="609"/>
      <c r="C42" s="609"/>
      <c r="D42" s="609"/>
      <c r="E42" s="609"/>
      <c r="F42" s="609"/>
      <c r="G42" s="609"/>
    </row>
    <row r="43" spans="1:7" x14ac:dyDescent="0.2">
      <c r="A43" s="608" t="s">
        <v>45</v>
      </c>
      <c r="B43" s="609"/>
      <c r="C43" s="609"/>
      <c r="D43" s="609"/>
      <c r="E43" s="609"/>
      <c r="F43" s="609"/>
      <c r="G43" s="609"/>
    </row>
    <row r="44" spans="1:7" x14ac:dyDescent="0.2">
      <c r="A44" s="608" t="s">
        <v>800</v>
      </c>
      <c r="B44" s="609"/>
      <c r="C44" s="609"/>
      <c r="D44" s="609"/>
      <c r="E44" s="609"/>
      <c r="F44" s="609"/>
      <c r="G44" s="609"/>
    </row>
    <row r="45" spans="1:7" x14ac:dyDescent="0.2">
      <c r="A45" s="608" t="s">
        <v>801</v>
      </c>
      <c r="B45" s="609"/>
      <c r="C45" s="609"/>
      <c r="D45" s="609"/>
      <c r="E45" s="609"/>
      <c r="F45" s="609"/>
      <c r="G45" s="609"/>
    </row>
    <row r="46" spans="1:7" ht="29.25" customHeight="1" x14ac:dyDescent="0.2">
      <c r="A46" s="608" t="s">
        <v>925</v>
      </c>
      <c r="B46" s="609"/>
      <c r="C46" s="609"/>
      <c r="D46" s="609"/>
      <c r="E46" s="609"/>
      <c r="F46" s="609"/>
      <c r="G46" s="609"/>
    </row>
    <row r="47" spans="1:7" x14ac:dyDescent="0.2">
      <c r="A47" s="608" t="s">
        <v>45</v>
      </c>
      <c r="B47" s="609"/>
      <c r="C47" s="609"/>
      <c r="D47" s="609"/>
      <c r="E47" s="609"/>
      <c r="F47" s="609"/>
      <c r="G47" s="609"/>
    </row>
    <row r="48" spans="1:7" x14ac:dyDescent="0.2">
      <c r="A48" s="610" t="s">
        <v>775</v>
      </c>
      <c r="B48" s="609"/>
      <c r="C48" s="609"/>
      <c r="D48" s="609"/>
      <c r="E48" s="609"/>
      <c r="F48" s="609"/>
      <c r="G48" s="609"/>
    </row>
  </sheetData>
  <mergeCells count="18">
    <mergeCell ref="I1:K2"/>
    <mergeCell ref="A1:G1"/>
    <mergeCell ref="A4:B4"/>
    <mergeCell ref="A36:G36"/>
    <mergeCell ref="A37:G37"/>
    <mergeCell ref="A48:G48"/>
    <mergeCell ref="A6:A7"/>
    <mergeCell ref="A8:A34"/>
    <mergeCell ref="A43:G43"/>
    <mergeCell ref="A44:G44"/>
    <mergeCell ref="A45:G45"/>
    <mergeCell ref="A46:G46"/>
    <mergeCell ref="A47:G47"/>
    <mergeCell ref="A38:G38"/>
    <mergeCell ref="A39:G39"/>
    <mergeCell ref="A40:G40"/>
    <mergeCell ref="A41:G41"/>
    <mergeCell ref="A42:G42"/>
  </mergeCells>
  <pageMargins left="0.6" right="0.79" top="0.79" bottom="1.06" header="0.3" footer="0.3"/>
  <pageSetup paperSize="9" fitToWidth="0" fitToHeight="0" orientation="portrait" horizontalDpi="300" verticalDpi="30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E1"/>
    </sheetView>
  </sheetViews>
  <sheetFormatPr baseColWidth="10" defaultColWidth="9.140625" defaultRowHeight="12.75" x14ac:dyDescent="0.2"/>
  <cols>
    <col min="1" max="1" width="35.7109375" customWidth="1"/>
    <col min="2" max="5" width="12.7109375" customWidth="1"/>
  </cols>
  <sheetData>
    <row r="1" spans="1:9" ht="15" customHeight="1" x14ac:dyDescent="0.2">
      <c r="A1" s="612" t="s">
        <v>802</v>
      </c>
      <c r="B1" s="609"/>
      <c r="C1" s="609"/>
      <c r="D1" s="609"/>
      <c r="E1" s="609"/>
      <c r="G1" s="611" t="str">
        <f>HYPERLINK("#'sommaire'!A1", "Retour sommaire")</f>
        <v>Retour sommaire</v>
      </c>
      <c r="H1" s="609"/>
      <c r="I1" s="609"/>
    </row>
    <row r="2" spans="1:9" x14ac:dyDescent="0.2">
      <c r="G2" s="609"/>
      <c r="H2" s="609"/>
      <c r="I2" s="609"/>
    </row>
    <row r="3" spans="1:9" x14ac:dyDescent="0.2">
      <c r="A3" s="619" t="s">
        <v>67</v>
      </c>
      <c r="B3" s="609"/>
      <c r="C3" s="609"/>
      <c r="D3" s="609"/>
      <c r="E3" s="609"/>
    </row>
    <row r="4" spans="1:9" x14ac:dyDescent="0.2">
      <c r="A4" s="4" t="s">
        <v>465</v>
      </c>
      <c r="B4" s="4" t="s">
        <v>762</v>
      </c>
      <c r="C4" s="4" t="s">
        <v>766</v>
      </c>
      <c r="D4" s="4" t="s">
        <v>769</v>
      </c>
      <c r="E4" s="4" t="s">
        <v>803</v>
      </c>
    </row>
    <row r="5" spans="1:9" x14ac:dyDescent="0.2">
      <c r="A5" s="17" t="s">
        <v>468</v>
      </c>
      <c r="B5" s="478">
        <v>5</v>
      </c>
      <c r="C5" s="480">
        <v>3</v>
      </c>
      <c r="D5" s="482">
        <v>107</v>
      </c>
      <c r="E5" s="484">
        <v>2</v>
      </c>
    </row>
    <row r="6" spans="1:9" x14ac:dyDescent="0.2">
      <c r="A6" s="17" t="s">
        <v>804</v>
      </c>
      <c r="B6" s="478">
        <v>3</v>
      </c>
      <c r="C6" s="480"/>
      <c r="D6" s="482">
        <v>13</v>
      </c>
      <c r="E6" s="484">
        <v>1</v>
      </c>
    </row>
    <row r="7" spans="1:9" x14ac:dyDescent="0.2">
      <c r="A7" s="17" t="s">
        <v>805</v>
      </c>
      <c r="B7" s="478"/>
      <c r="C7" s="480"/>
      <c r="D7" s="482">
        <v>11</v>
      </c>
      <c r="E7" s="484">
        <v>1</v>
      </c>
    </row>
    <row r="8" spans="1:9" x14ac:dyDescent="0.2">
      <c r="A8" s="17" t="s">
        <v>472</v>
      </c>
      <c r="B8" s="478"/>
      <c r="C8" s="480"/>
      <c r="D8" s="482">
        <v>9</v>
      </c>
      <c r="E8" s="484"/>
    </row>
    <row r="9" spans="1:9" x14ac:dyDescent="0.2">
      <c r="A9" s="17" t="s">
        <v>806</v>
      </c>
      <c r="B9" s="478"/>
      <c r="C9" s="480"/>
      <c r="D9" s="482">
        <v>5</v>
      </c>
      <c r="E9" s="484"/>
    </row>
    <row r="10" spans="1:9" x14ac:dyDescent="0.2">
      <c r="A10" s="6" t="s">
        <v>75</v>
      </c>
      <c r="B10" s="477">
        <v>8</v>
      </c>
      <c r="C10" s="479">
        <v>3</v>
      </c>
      <c r="D10" s="481">
        <v>145</v>
      </c>
      <c r="E10" s="483">
        <v>4</v>
      </c>
    </row>
    <row r="11" spans="1:9" x14ac:dyDescent="0.2">
      <c r="A11" s="608" t="s">
        <v>807</v>
      </c>
      <c r="B11" s="609"/>
      <c r="C11" s="609"/>
      <c r="D11" s="609"/>
      <c r="E11" s="609"/>
    </row>
    <row r="12" spans="1:9" x14ac:dyDescent="0.2">
      <c r="A12" s="608" t="s">
        <v>808</v>
      </c>
      <c r="B12" s="609"/>
      <c r="C12" s="609"/>
      <c r="D12" s="609"/>
      <c r="E12" s="609"/>
    </row>
    <row r="13" spans="1:9" ht="25.5" customHeight="1" x14ac:dyDescent="0.2">
      <c r="A13" s="608" t="s">
        <v>809</v>
      </c>
      <c r="B13" s="609"/>
      <c r="C13" s="609"/>
      <c r="D13" s="609"/>
      <c r="E13" s="609"/>
    </row>
    <row r="14" spans="1:9" x14ac:dyDescent="0.2">
      <c r="A14" s="608" t="s">
        <v>45</v>
      </c>
      <c r="B14" s="609"/>
      <c r="C14" s="609"/>
      <c r="D14" s="609"/>
      <c r="E14" s="609"/>
    </row>
    <row r="15" spans="1:9" ht="25.5" customHeight="1" x14ac:dyDescent="0.2">
      <c r="A15" s="608" t="s">
        <v>810</v>
      </c>
      <c r="B15" s="609"/>
      <c r="C15" s="609"/>
      <c r="D15" s="609"/>
      <c r="E15" s="609"/>
    </row>
    <row r="16" spans="1:9" x14ac:dyDescent="0.2">
      <c r="A16" s="610" t="s">
        <v>775</v>
      </c>
      <c r="B16" s="609"/>
      <c r="C16" s="609"/>
      <c r="D16" s="609"/>
      <c r="E16" s="609"/>
    </row>
  </sheetData>
  <mergeCells count="9">
    <mergeCell ref="A13:E13"/>
    <mergeCell ref="A14:E14"/>
    <mergeCell ref="A15:E15"/>
    <mergeCell ref="A16:E16"/>
    <mergeCell ref="G1:I2"/>
    <mergeCell ref="A1:E1"/>
    <mergeCell ref="A3:E3"/>
    <mergeCell ref="A11:E11"/>
    <mergeCell ref="A12:E12"/>
  </mergeCells>
  <pageMargins left="0.6" right="0.79" top="0.79" bottom="1.06" header="0.3" footer="0.3"/>
  <pageSetup paperSize="9" fitToWidth="0" fitToHeight="0" orientation="portrait" horizontalDpi="300" verticalDpi="30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F1" sqref="F1:H2"/>
    </sheetView>
  </sheetViews>
  <sheetFormatPr baseColWidth="10" defaultColWidth="9.140625" defaultRowHeight="12.75" x14ac:dyDescent="0.2"/>
  <cols>
    <col min="1" max="1" width="32.7109375" customWidth="1"/>
    <col min="2" max="4" width="12.7109375" customWidth="1"/>
  </cols>
  <sheetData>
    <row r="1" spans="1:8" ht="39" customHeight="1" x14ac:dyDescent="0.2">
      <c r="A1" s="612" t="s">
        <v>811</v>
      </c>
      <c r="B1" s="609"/>
      <c r="C1" s="609"/>
      <c r="D1" s="609"/>
      <c r="F1" s="611" t="str">
        <f>HYPERLINK("#'sommaire'!A1", "Retour sommaire")</f>
        <v>Retour sommaire</v>
      </c>
      <c r="G1" s="609"/>
      <c r="H1" s="609"/>
    </row>
    <row r="2" spans="1:8" x14ac:dyDescent="0.2">
      <c r="F2" s="609"/>
      <c r="G2" s="609"/>
      <c r="H2" s="609"/>
    </row>
    <row r="3" spans="1:8" x14ac:dyDescent="0.2">
      <c r="A3" s="619" t="s">
        <v>264</v>
      </c>
      <c r="B3" s="609"/>
      <c r="C3" s="609"/>
      <c r="D3" s="609"/>
    </row>
    <row r="4" spans="1:8" x14ac:dyDescent="0.2">
      <c r="A4" s="4" t="s">
        <v>812</v>
      </c>
      <c r="B4" s="4" t="s">
        <v>762</v>
      </c>
      <c r="C4" s="4" t="s">
        <v>766</v>
      </c>
      <c r="D4" s="4" t="s">
        <v>769</v>
      </c>
    </row>
    <row r="5" spans="1:8" x14ac:dyDescent="0.2">
      <c r="A5" s="17" t="s">
        <v>813</v>
      </c>
      <c r="B5" s="486">
        <v>197.70625000000001</v>
      </c>
      <c r="C5" s="488">
        <v>703.67049999999995</v>
      </c>
      <c r="D5" s="490">
        <v>119.04044337931001</v>
      </c>
    </row>
    <row r="6" spans="1:8" x14ac:dyDescent="0.2">
      <c r="A6" s="17" t="s">
        <v>814</v>
      </c>
      <c r="B6" s="486">
        <v>8.9017499999999998</v>
      </c>
      <c r="C6" s="488"/>
      <c r="D6" s="490"/>
    </row>
    <row r="7" spans="1:8" x14ac:dyDescent="0.2">
      <c r="A7" s="17" t="s">
        <v>815</v>
      </c>
      <c r="B7" s="486">
        <v>78.894999999999996</v>
      </c>
      <c r="C7" s="488">
        <v>95.388499999999993</v>
      </c>
      <c r="D7" s="490">
        <v>6477.8553202068997</v>
      </c>
    </row>
    <row r="8" spans="1:8" x14ac:dyDescent="0.2">
      <c r="A8" s="17" t="s">
        <v>816</v>
      </c>
      <c r="B8" s="486"/>
      <c r="C8" s="488">
        <v>229.95099999999999</v>
      </c>
      <c r="D8" s="490">
        <v>1003.07023641379</v>
      </c>
    </row>
    <row r="9" spans="1:8" x14ac:dyDescent="0.2">
      <c r="A9" s="6" t="s">
        <v>75</v>
      </c>
      <c r="B9" s="485">
        <v>285.50299999999999</v>
      </c>
      <c r="C9" s="487">
        <v>1029.01</v>
      </c>
      <c r="D9" s="489">
        <v>7599.9660000000003</v>
      </c>
    </row>
    <row r="10" spans="1:8" ht="29.25" customHeight="1" x14ac:dyDescent="0.2">
      <c r="A10" s="608" t="s">
        <v>817</v>
      </c>
      <c r="B10" s="609"/>
      <c r="C10" s="609"/>
      <c r="D10" s="609"/>
    </row>
    <row r="11" spans="1:8" x14ac:dyDescent="0.2">
      <c r="A11" s="610" t="s">
        <v>775</v>
      </c>
      <c r="B11" s="609"/>
      <c r="C11" s="609"/>
      <c r="D11" s="609"/>
    </row>
  </sheetData>
  <mergeCells count="5">
    <mergeCell ref="F1:H2"/>
    <mergeCell ref="A1:D1"/>
    <mergeCell ref="A3:D3"/>
    <mergeCell ref="A10:D10"/>
    <mergeCell ref="A11:D11"/>
  </mergeCells>
  <pageMargins left="0.6" right="0.79" top="0.79" bottom="1.06" header="0.3" footer="0.3"/>
  <pageSetup paperSize="9" fitToWidth="0" fitToHeight="0" orientation="portrait" horizontalDpi="300" verticalDpi="30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E1"/>
    </sheetView>
  </sheetViews>
  <sheetFormatPr baseColWidth="10" defaultColWidth="9.140625" defaultRowHeight="12.75" x14ac:dyDescent="0.2"/>
  <cols>
    <col min="1" max="1" width="14.7109375" customWidth="1"/>
    <col min="2" max="2" width="33.7109375" customWidth="1"/>
    <col min="3" max="5" width="12.7109375" customWidth="1"/>
  </cols>
  <sheetData>
    <row r="1" spans="1:9" ht="39" customHeight="1" x14ac:dyDescent="0.2">
      <c r="A1" s="612" t="s">
        <v>818</v>
      </c>
      <c r="B1" s="609"/>
      <c r="C1" s="609"/>
      <c r="D1" s="609"/>
      <c r="E1" s="609"/>
      <c r="G1" s="611" t="str">
        <f>HYPERLINK("#'sommaire'!A1", "Retour sommaire")</f>
        <v>Retour sommaire</v>
      </c>
      <c r="H1" s="609"/>
      <c r="I1" s="609"/>
    </row>
    <row r="2" spans="1:9" x14ac:dyDescent="0.2">
      <c r="G2" s="609"/>
      <c r="H2" s="609"/>
      <c r="I2" s="609"/>
    </row>
    <row r="3" spans="1:9" x14ac:dyDescent="0.2">
      <c r="A3" s="619" t="s">
        <v>537</v>
      </c>
      <c r="B3" s="609"/>
      <c r="C3" s="609"/>
      <c r="D3" s="609"/>
      <c r="E3" s="609"/>
    </row>
    <row r="4" spans="1:9" x14ac:dyDescent="0.2">
      <c r="A4" s="4" t="s">
        <v>194</v>
      </c>
      <c r="B4" s="4" t="s">
        <v>819</v>
      </c>
      <c r="C4" s="4" t="s">
        <v>762</v>
      </c>
      <c r="D4" s="4" t="s">
        <v>766</v>
      </c>
      <c r="E4" s="4" t="s">
        <v>769</v>
      </c>
    </row>
    <row r="5" spans="1:9" ht="25.5" x14ac:dyDescent="0.2">
      <c r="A5" s="17" t="s">
        <v>820</v>
      </c>
      <c r="B5" s="17" t="s">
        <v>821</v>
      </c>
      <c r="C5" s="618">
        <v>83.963333333333296</v>
      </c>
      <c r="D5" s="618">
        <v>1.066368</v>
      </c>
      <c r="E5" s="496">
        <v>0.19500999999999999</v>
      </c>
    </row>
    <row r="6" spans="1:9" x14ac:dyDescent="0.2">
      <c r="A6" s="614" t="s">
        <v>822</v>
      </c>
      <c r="B6" s="17" t="s">
        <v>823</v>
      </c>
      <c r="C6" s="618"/>
      <c r="D6" s="618"/>
      <c r="E6" s="496">
        <v>29.424330000000001</v>
      </c>
    </row>
    <row r="7" spans="1:9" ht="25.5" x14ac:dyDescent="0.2">
      <c r="A7" s="614" t="s">
        <v>822</v>
      </c>
      <c r="B7" s="17" t="s">
        <v>824</v>
      </c>
      <c r="C7" s="618"/>
      <c r="D7" s="618"/>
      <c r="E7" s="496">
        <v>19.38308</v>
      </c>
    </row>
    <row r="8" spans="1:9" x14ac:dyDescent="0.2">
      <c r="A8" s="614" t="s">
        <v>822</v>
      </c>
      <c r="B8" s="17" t="s">
        <v>825</v>
      </c>
      <c r="C8" s="618"/>
      <c r="D8" s="618"/>
      <c r="E8" s="496">
        <v>8.9981600000000004</v>
      </c>
    </row>
    <row r="9" spans="1:9" ht="25.5" x14ac:dyDescent="0.2">
      <c r="A9" s="614" t="s">
        <v>822</v>
      </c>
      <c r="B9" s="17" t="s">
        <v>826</v>
      </c>
      <c r="C9" s="618"/>
      <c r="D9" s="618"/>
      <c r="E9" s="496">
        <v>2.8798499999999998</v>
      </c>
    </row>
    <row r="10" spans="1:9" x14ac:dyDescent="0.2">
      <c r="A10" s="614" t="s">
        <v>822</v>
      </c>
      <c r="B10" s="17" t="s">
        <v>827</v>
      </c>
      <c r="C10" s="618"/>
      <c r="D10" s="618"/>
      <c r="E10" s="496">
        <v>5.2569999999999999E-2</v>
      </c>
    </row>
    <row r="11" spans="1:9" x14ac:dyDescent="0.2">
      <c r="A11" s="17" t="s">
        <v>828</v>
      </c>
      <c r="B11" s="17" t="s">
        <v>829</v>
      </c>
      <c r="C11" s="492">
        <v>36.746666666666698</v>
      </c>
      <c r="D11" s="494">
        <v>2.9092319999999998</v>
      </c>
      <c r="E11" s="496">
        <v>2.5299999999999998</v>
      </c>
    </row>
    <row r="12" spans="1:9" x14ac:dyDescent="0.2">
      <c r="A12" s="6" t="s">
        <v>75</v>
      </c>
      <c r="B12" s="6"/>
      <c r="C12" s="491">
        <v>120.71</v>
      </c>
      <c r="D12" s="493">
        <v>3.9756</v>
      </c>
      <c r="E12" s="495">
        <v>63.463000000000001</v>
      </c>
    </row>
    <row r="13" spans="1:9" x14ac:dyDescent="0.2">
      <c r="A13" s="608" t="s">
        <v>830</v>
      </c>
      <c r="B13" s="609"/>
      <c r="C13" s="609"/>
      <c r="D13" s="609"/>
      <c r="E13" s="609"/>
    </row>
    <row r="14" spans="1:9" x14ac:dyDescent="0.2">
      <c r="A14" s="608" t="s">
        <v>45</v>
      </c>
      <c r="B14" s="609"/>
      <c r="C14" s="609"/>
      <c r="D14" s="609"/>
      <c r="E14" s="609"/>
    </row>
    <row r="15" spans="1:9" ht="28.5" customHeight="1" x14ac:dyDescent="0.2">
      <c r="A15" s="608" t="s">
        <v>831</v>
      </c>
      <c r="B15" s="609"/>
      <c r="C15" s="609"/>
      <c r="D15" s="609"/>
      <c r="E15" s="609"/>
    </row>
    <row r="16" spans="1:9" x14ac:dyDescent="0.2">
      <c r="A16" s="610" t="s">
        <v>775</v>
      </c>
      <c r="B16" s="609"/>
      <c r="C16" s="609"/>
      <c r="D16" s="609"/>
      <c r="E16" s="609"/>
    </row>
  </sheetData>
  <mergeCells count="10">
    <mergeCell ref="G1:I2"/>
    <mergeCell ref="A1:E1"/>
    <mergeCell ref="A3:E3"/>
    <mergeCell ref="A13:E13"/>
    <mergeCell ref="A14:E14"/>
    <mergeCell ref="A15:E15"/>
    <mergeCell ref="A16:E16"/>
    <mergeCell ref="A6:A10"/>
    <mergeCell ref="C5:C10"/>
    <mergeCell ref="D5:D10"/>
  </mergeCells>
  <pageMargins left="0.6" right="0.79" top="0.79" bottom="1.06" header="0.3" footer="0.3"/>
  <pageSetup paperSize="9" fitToWidth="0" fitToHeight="0" orientation="portrait" horizontalDpi="300" verticalDpi="30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sqref="A1:D1"/>
    </sheetView>
  </sheetViews>
  <sheetFormatPr baseColWidth="10" defaultColWidth="9.140625" defaultRowHeight="12.75" x14ac:dyDescent="0.2"/>
  <cols>
    <col min="1" max="1" width="35.7109375" customWidth="1"/>
    <col min="2" max="4" width="15.7109375" customWidth="1"/>
  </cols>
  <sheetData>
    <row r="1" spans="1:8" ht="39" customHeight="1" x14ac:dyDescent="0.2">
      <c r="A1" s="612" t="s">
        <v>832</v>
      </c>
      <c r="B1" s="609"/>
      <c r="C1" s="609"/>
      <c r="D1" s="609"/>
      <c r="F1" s="611" t="str">
        <f>HYPERLINK("#'sommaire'!A1", "Retour sommaire")</f>
        <v>Retour sommaire</v>
      </c>
      <c r="G1" s="609"/>
      <c r="H1" s="609"/>
    </row>
    <row r="2" spans="1:8" x14ac:dyDescent="0.2">
      <c r="F2" s="609"/>
      <c r="G2" s="609"/>
      <c r="H2" s="609"/>
    </row>
    <row r="3" spans="1:8" x14ac:dyDescent="0.2">
      <c r="A3" s="619" t="s">
        <v>264</v>
      </c>
      <c r="B3" s="609"/>
      <c r="C3" s="609"/>
      <c r="D3" s="609"/>
    </row>
    <row r="4" spans="1:8" x14ac:dyDescent="0.2">
      <c r="A4" s="4" t="s">
        <v>833</v>
      </c>
      <c r="B4" s="4" t="s">
        <v>762</v>
      </c>
      <c r="C4" s="4" t="s">
        <v>766</v>
      </c>
      <c r="D4" s="4" t="s">
        <v>769</v>
      </c>
    </row>
    <row r="5" spans="1:8" x14ac:dyDescent="0.2">
      <c r="A5" s="17" t="s">
        <v>834</v>
      </c>
      <c r="B5" s="618" t="s">
        <v>74</v>
      </c>
      <c r="C5" s="618" t="s">
        <v>74</v>
      </c>
      <c r="D5" s="501">
        <v>7313.0165040000002</v>
      </c>
    </row>
    <row r="6" spans="1:8" x14ac:dyDescent="0.2">
      <c r="A6" s="17" t="s">
        <v>835</v>
      </c>
      <c r="B6" s="618" t="s">
        <v>74</v>
      </c>
      <c r="C6" s="618" t="s">
        <v>74</v>
      </c>
      <c r="D6" s="501">
        <v>267.087266</v>
      </c>
    </row>
    <row r="7" spans="1:8" x14ac:dyDescent="0.2">
      <c r="A7" s="17" t="s">
        <v>836</v>
      </c>
      <c r="B7" s="498"/>
      <c r="C7" s="618" t="s">
        <v>74</v>
      </c>
      <c r="D7" s="501">
        <v>19.86223</v>
      </c>
    </row>
    <row r="8" spans="1:8" x14ac:dyDescent="0.2">
      <c r="A8" s="6" t="s">
        <v>75</v>
      </c>
      <c r="B8" s="497">
        <v>285.50299999999999</v>
      </c>
      <c r="C8" s="499">
        <v>1029.01</v>
      </c>
      <c r="D8" s="500">
        <v>7599.9660000000003</v>
      </c>
    </row>
    <row r="9" spans="1:8" ht="27.75" customHeight="1" x14ac:dyDescent="0.2">
      <c r="A9" s="608" t="s">
        <v>837</v>
      </c>
      <c r="B9" s="609"/>
      <c r="C9" s="609"/>
      <c r="D9" s="609"/>
    </row>
    <row r="10" spans="1:8" x14ac:dyDescent="0.2">
      <c r="A10" s="610" t="s">
        <v>775</v>
      </c>
      <c r="B10" s="609"/>
      <c r="C10" s="609"/>
      <c r="D10" s="609"/>
    </row>
  </sheetData>
  <mergeCells count="7">
    <mergeCell ref="F1:H2"/>
    <mergeCell ref="A1:D1"/>
    <mergeCell ref="A3:D3"/>
    <mergeCell ref="A9:D9"/>
    <mergeCell ref="A10:D10"/>
    <mergeCell ref="B5:B6"/>
    <mergeCell ref="C5:C7"/>
  </mergeCells>
  <pageMargins left="0.6" right="0.79" top="0.79" bottom="1.06" header="0.3" footer="0.3"/>
  <pageSetup paperSize="9" fitToWidth="0" fitToHeight="0" orientation="portrait" horizontalDpi="300" verticalDpi="30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sqref="A1:D1"/>
    </sheetView>
  </sheetViews>
  <sheetFormatPr baseColWidth="10" defaultColWidth="9.140625" defaultRowHeight="12.75" x14ac:dyDescent="0.2"/>
  <cols>
    <col min="1" max="1" width="40.7109375" customWidth="1"/>
    <col min="2" max="4" width="15.7109375" customWidth="1"/>
  </cols>
  <sheetData>
    <row r="1" spans="1:8" ht="15" customHeight="1" x14ac:dyDescent="0.2">
      <c r="A1" s="612" t="s">
        <v>838</v>
      </c>
      <c r="B1" s="609"/>
      <c r="C1" s="609"/>
      <c r="D1" s="609"/>
      <c r="F1" s="611" t="str">
        <f>HYPERLINK("#'sommaire'!A1", "Retour sommaire")</f>
        <v>Retour sommaire</v>
      </c>
      <c r="G1" s="609"/>
      <c r="H1" s="609"/>
    </row>
    <row r="2" spans="1:8" x14ac:dyDescent="0.2">
      <c r="F2" s="609"/>
      <c r="G2" s="609"/>
      <c r="H2" s="609"/>
    </row>
    <row r="3" spans="1:8" x14ac:dyDescent="0.2">
      <c r="A3" s="619" t="s">
        <v>839</v>
      </c>
      <c r="B3" s="609"/>
      <c r="C3" s="609"/>
      <c r="D3" s="609"/>
    </row>
    <row r="4" spans="1:8" x14ac:dyDescent="0.2">
      <c r="A4" s="4" t="s">
        <v>699</v>
      </c>
      <c r="B4" s="4" t="s">
        <v>762</v>
      </c>
      <c r="C4" s="4" t="s">
        <v>766</v>
      </c>
      <c r="D4" s="4" t="s">
        <v>769</v>
      </c>
    </row>
    <row r="5" spans="1:8" ht="25.5" x14ac:dyDescent="0.2">
      <c r="A5" s="17" t="s">
        <v>840</v>
      </c>
      <c r="B5" s="502"/>
      <c r="C5" s="503"/>
      <c r="D5" s="504">
        <v>51.409482690701701</v>
      </c>
    </row>
    <row r="6" spans="1:8" ht="25.5" x14ac:dyDescent="0.2">
      <c r="A6" s="17" t="s">
        <v>841</v>
      </c>
      <c r="B6" s="502" t="s">
        <v>74</v>
      </c>
      <c r="C6" s="503" t="s">
        <v>74</v>
      </c>
      <c r="D6" s="504">
        <v>26.741030206577101</v>
      </c>
    </row>
    <row r="7" spans="1:8" x14ac:dyDescent="0.2">
      <c r="A7" s="17" t="s">
        <v>705</v>
      </c>
      <c r="B7" s="502"/>
      <c r="C7" s="503"/>
      <c r="D7" s="504">
        <v>10.2012196082757</v>
      </c>
    </row>
    <row r="8" spans="1:8" x14ac:dyDescent="0.2">
      <c r="A8" s="17" t="s">
        <v>842</v>
      </c>
      <c r="B8" s="502" t="s">
        <v>74</v>
      </c>
      <c r="C8" s="503" t="s">
        <v>74</v>
      </c>
      <c r="D8" s="504">
        <v>2.8520555284181301</v>
      </c>
    </row>
    <row r="9" spans="1:8" x14ac:dyDescent="0.2">
      <c r="A9" s="608" t="s">
        <v>843</v>
      </c>
      <c r="B9" s="609"/>
      <c r="C9" s="609"/>
      <c r="D9" s="609"/>
    </row>
    <row r="10" spans="1:8" x14ac:dyDescent="0.2">
      <c r="A10" s="608" t="s">
        <v>45</v>
      </c>
      <c r="B10" s="609"/>
      <c r="C10" s="609"/>
      <c r="D10" s="609"/>
    </row>
    <row r="11" spans="1:8" ht="25.5" customHeight="1" x14ac:dyDescent="0.2">
      <c r="A11" s="608" t="s">
        <v>844</v>
      </c>
      <c r="B11" s="609"/>
      <c r="C11" s="609"/>
      <c r="D11" s="609"/>
    </row>
    <row r="12" spans="1:8" x14ac:dyDescent="0.2">
      <c r="A12" s="610" t="s">
        <v>775</v>
      </c>
      <c r="B12" s="609"/>
      <c r="C12" s="609"/>
      <c r="D12" s="609"/>
    </row>
  </sheetData>
  <mergeCells count="7">
    <mergeCell ref="A11:D11"/>
    <mergeCell ref="A12:D12"/>
    <mergeCell ref="F1:H2"/>
    <mergeCell ref="A1:D1"/>
    <mergeCell ref="A3:D3"/>
    <mergeCell ref="A9:D9"/>
    <mergeCell ref="A10:D10"/>
  </mergeCells>
  <pageMargins left="0.6" right="0.79" top="0.79" bottom="1.06" header="0.3" footer="0.3"/>
  <pageSetup paperSize="9" fitToWidth="0" fitToHeight="0" orientation="portrait" horizontalDpi="300" verticalDpi="30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sqref="A1:F1"/>
    </sheetView>
  </sheetViews>
  <sheetFormatPr baseColWidth="10" defaultColWidth="9.140625" defaultRowHeight="12.75" x14ac:dyDescent="0.2"/>
  <cols>
    <col min="1" max="1" width="29.7109375" customWidth="1"/>
    <col min="2" max="3" width="12.7109375" customWidth="1"/>
    <col min="4" max="6" width="10.7109375" customWidth="1"/>
  </cols>
  <sheetData>
    <row r="1" spans="1:10" ht="39" customHeight="1" x14ac:dyDescent="0.2">
      <c r="A1" s="612" t="s">
        <v>845</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x14ac:dyDescent="0.2">
      <c r="A4" s="4" t="s">
        <v>545</v>
      </c>
      <c r="B4" s="4" t="s">
        <v>762</v>
      </c>
      <c r="C4" s="4" t="s">
        <v>766</v>
      </c>
      <c r="D4" s="4" t="s">
        <v>769</v>
      </c>
      <c r="E4" s="4" t="s">
        <v>803</v>
      </c>
      <c r="F4" s="4" t="s">
        <v>274</v>
      </c>
    </row>
    <row r="5" spans="1:10" ht="63.75" x14ac:dyDescent="0.2">
      <c r="A5" s="17" t="s">
        <v>546</v>
      </c>
      <c r="B5" s="506">
        <v>1</v>
      </c>
      <c r="C5" s="508"/>
      <c r="D5" s="510">
        <v>26</v>
      </c>
      <c r="E5" s="512"/>
      <c r="F5" s="514">
        <v>27</v>
      </c>
    </row>
    <row r="6" spans="1:10" x14ac:dyDescent="0.2">
      <c r="A6" s="17" t="s">
        <v>547</v>
      </c>
      <c r="B6" s="506"/>
      <c r="C6" s="508"/>
      <c r="D6" s="510">
        <v>1</v>
      </c>
      <c r="E6" s="512"/>
      <c r="F6" s="514">
        <v>1</v>
      </c>
    </row>
    <row r="7" spans="1:10" x14ac:dyDescent="0.2">
      <c r="A7" s="17" t="s">
        <v>548</v>
      </c>
      <c r="B7" s="506"/>
      <c r="C7" s="508"/>
      <c r="D7" s="510">
        <v>7</v>
      </c>
      <c r="E7" s="512"/>
      <c r="F7" s="514">
        <v>7</v>
      </c>
    </row>
    <row r="8" spans="1:10" ht="25.5" x14ac:dyDescent="0.2">
      <c r="A8" s="17" t="s">
        <v>549</v>
      </c>
      <c r="B8" s="506"/>
      <c r="C8" s="508"/>
      <c r="D8" s="510">
        <v>3</v>
      </c>
      <c r="E8" s="512"/>
      <c r="F8" s="514">
        <v>3</v>
      </c>
    </row>
    <row r="9" spans="1:10" ht="25.5" x14ac:dyDescent="0.2">
      <c r="A9" s="17" t="s">
        <v>550</v>
      </c>
      <c r="B9" s="506">
        <v>5</v>
      </c>
      <c r="C9" s="508">
        <v>2</v>
      </c>
      <c r="D9" s="510">
        <v>7</v>
      </c>
      <c r="E9" s="512">
        <v>2</v>
      </c>
      <c r="F9" s="514">
        <v>16</v>
      </c>
    </row>
    <row r="10" spans="1:10" ht="51" x14ac:dyDescent="0.2">
      <c r="A10" s="17" t="s">
        <v>551</v>
      </c>
      <c r="B10" s="506"/>
      <c r="C10" s="508"/>
      <c r="D10" s="510">
        <v>1</v>
      </c>
      <c r="E10" s="512"/>
      <c r="F10" s="514">
        <v>1</v>
      </c>
    </row>
    <row r="11" spans="1:10" x14ac:dyDescent="0.2">
      <c r="A11" s="17" t="s">
        <v>273</v>
      </c>
      <c r="B11" s="506"/>
      <c r="C11" s="508"/>
      <c r="D11" s="510">
        <v>1</v>
      </c>
      <c r="E11" s="512"/>
      <c r="F11" s="514">
        <v>1</v>
      </c>
    </row>
    <row r="12" spans="1:10" x14ac:dyDescent="0.2">
      <c r="A12" s="17" t="s">
        <v>178</v>
      </c>
      <c r="B12" s="506">
        <v>2</v>
      </c>
      <c r="C12" s="508">
        <v>1</v>
      </c>
      <c r="D12" s="510">
        <v>99</v>
      </c>
      <c r="E12" s="512">
        <v>2</v>
      </c>
      <c r="F12" s="514">
        <v>104</v>
      </c>
    </row>
    <row r="13" spans="1:10" x14ac:dyDescent="0.2">
      <c r="A13" s="6" t="s">
        <v>75</v>
      </c>
      <c r="B13" s="505">
        <v>8</v>
      </c>
      <c r="C13" s="507">
        <v>3</v>
      </c>
      <c r="D13" s="509">
        <v>145</v>
      </c>
      <c r="E13" s="511">
        <v>4</v>
      </c>
      <c r="F13" s="513">
        <v>160</v>
      </c>
    </row>
    <row r="14" spans="1:10" ht="30" customHeight="1" x14ac:dyDescent="0.2">
      <c r="A14" s="608" t="s">
        <v>807</v>
      </c>
      <c r="B14" s="609"/>
      <c r="C14" s="609"/>
      <c r="D14" s="609"/>
      <c r="E14" s="609"/>
      <c r="F14" s="609"/>
    </row>
    <row r="15" spans="1:10" x14ac:dyDescent="0.2">
      <c r="A15" s="608" t="s">
        <v>846</v>
      </c>
      <c r="B15" s="609"/>
      <c r="C15" s="609"/>
      <c r="D15" s="609"/>
      <c r="E15" s="609"/>
      <c r="F15" s="609"/>
    </row>
    <row r="16" spans="1:10" ht="30" customHeight="1" x14ac:dyDescent="0.2">
      <c r="A16" s="608" t="s">
        <v>809</v>
      </c>
      <c r="B16" s="609"/>
      <c r="C16" s="609"/>
      <c r="D16" s="609"/>
      <c r="E16" s="609"/>
      <c r="F16" s="609"/>
    </row>
    <row r="17" spans="1:6" x14ac:dyDescent="0.2">
      <c r="A17" s="608" t="s">
        <v>45</v>
      </c>
      <c r="B17" s="609"/>
      <c r="C17" s="609"/>
      <c r="D17" s="609"/>
      <c r="E17" s="609"/>
      <c r="F17" s="609"/>
    </row>
    <row r="18" spans="1:6" x14ac:dyDescent="0.2">
      <c r="A18" s="608" t="s">
        <v>847</v>
      </c>
      <c r="B18" s="609"/>
      <c r="C18" s="609"/>
      <c r="D18" s="609"/>
      <c r="E18" s="609"/>
      <c r="F18" s="609"/>
    </row>
    <row r="19" spans="1:6" x14ac:dyDescent="0.2">
      <c r="A19" s="610" t="s">
        <v>775</v>
      </c>
      <c r="B19" s="609"/>
      <c r="C19" s="609"/>
      <c r="D19" s="609"/>
      <c r="E19" s="609"/>
      <c r="F19" s="609"/>
    </row>
  </sheetData>
  <mergeCells count="9">
    <mergeCell ref="A16:F16"/>
    <mergeCell ref="A17:F17"/>
    <mergeCell ref="A18:F18"/>
    <mergeCell ref="A19:F19"/>
    <mergeCell ref="H1:J2"/>
    <mergeCell ref="A1:F1"/>
    <mergeCell ref="A3:F3"/>
    <mergeCell ref="A14:F14"/>
    <mergeCell ref="A15:F15"/>
  </mergeCells>
  <pageMargins left="0.6" right="0.79" top="0.79" bottom="1.06" header="0.3" footer="0.3"/>
  <pageSetup paperSize="9" fitToWidth="0" fitToHeight="0" orientation="portrait" horizontalDpi="300" verticalDpi="30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sqref="A1:E1"/>
    </sheetView>
  </sheetViews>
  <sheetFormatPr baseColWidth="10" defaultColWidth="9.140625" defaultRowHeight="12.75" x14ac:dyDescent="0.2"/>
  <cols>
    <col min="1" max="1" width="23.7109375" customWidth="1"/>
    <col min="2" max="5" width="15.7109375" customWidth="1"/>
  </cols>
  <sheetData>
    <row r="1" spans="1:9" ht="39" customHeight="1" x14ac:dyDescent="0.2">
      <c r="A1" s="612" t="s">
        <v>848</v>
      </c>
      <c r="B1" s="609"/>
      <c r="C1" s="609"/>
      <c r="D1" s="609"/>
      <c r="E1" s="609"/>
      <c r="G1" s="611" t="str">
        <f>HYPERLINK("#'sommaire'!A1", "Retour sommaire")</f>
        <v>Retour sommaire</v>
      </c>
      <c r="H1" s="609"/>
      <c r="I1" s="609"/>
    </row>
    <row r="2" spans="1:9" x14ac:dyDescent="0.2">
      <c r="G2" s="609"/>
      <c r="H2" s="609"/>
      <c r="I2" s="609"/>
    </row>
    <row r="3" spans="1:9" x14ac:dyDescent="0.2">
      <c r="A3" s="619" t="s">
        <v>67</v>
      </c>
      <c r="B3" s="609"/>
      <c r="C3" s="609"/>
      <c r="D3" s="609"/>
      <c r="E3" s="609"/>
    </row>
    <row r="4" spans="1:9" ht="25.5" x14ac:dyDescent="0.2">
      <c r="A4" s="4" t="s">
        <v>849</v>
      </c>
      <c r="B4" s="4" t="s">
        <v>762</v>
      </c>
      <c r="C4" s="4" t="s">
        <v>766</v>
      </c>
      <c r="D4" s="4" t="s">
        <v>769</v>
      </c>
      <c r="E4" s="4" t="s">
        <v>803</v>
      </c>
    </row>
    <row r="5" spans="1:9" x14ac:dyDescent="0.2">
      <c r="A5" s="17" t="s">
        <v>554</v>
      </c>
      <c r="B5" s="515">
        <v>8</v>
      </c>
      <c r="C5" s="516">
        <v>3</v>
      </c>
      <c r="D5" s="517">
        <v>143</v>
      </c>
      <c r="E5" s="518">
        <v>3</v>
      </c>
    </row>
    <row r="6" spans="1:9" x14ac:dyDescent="0.2">
      <c r="A6" s="17" t="s">
        <v>555</v>
      </c>
      <c r="B6" s="515">
        <v>0</v>
      </c>
      <c r="C6" s="516">
        <v>0</v>
      </c>
      <c r="D6" s="517">
        <v>2</v>
      </c>
      <c r="E6" s="518">
        <v>1</v>
      </c>
    </row>
    <row r="7" spans="1:9" x14ac:dyDescent="0.2">
      <c r="A7" s="17" t="s">
        <v>556</v>
      </c>
      <c r="B7" s="515">
        <v>0</v>
      </c>
      <c r="C7" s="516">
        <v>0</v>
      </c>
      <c r="D7" s="517">
        <v>0</v>
      </c>
      <c r="E7" s="518">
        <v>0</v>
      </c>
    </row>
    <row r="8" spans="1:9" x14ac:dyDescent="0.2">
      <c r="A8" s="17" t="s">
        <v>75</v>
      </c>
      <c r="B8" s="515">
        <v>8</v>
      </c>
      <c r="C8" s="516">
        <v>3</v>
      </c>
      <c r="D8" s="517">
        <v>145</v>
      </c>
      <c r="E8" s="518">
        <v>4</v>
      </c>
    </row>
    <row r="9" spans="1:9" ht="27.75" customHeight="1" x14ac:dyDescent="0.2">
      <c r="A9" s="608" t="s">
        <v>807</v>
      </c>
      <c r="B9" s="609"/>
      <c r="C9" s="609"/>
      <c r="D9" s="609"/>
      <c r="E9" s="609"/>
    </row>
    <row r="10" spans="1:9" x14ac:dyDescent="0.2">
      <c r="A10" s="608" t="s">
        <v>846</v>
      </c>
      <c r="B10" s="609"/>
      <c r="C10" s="609"/>
      <c r="D10" s="609"/>
      <c r="E10" s="609"/>
    </row>
    <row r="11" spans="1:9" ht="26.25" customHeight="1" x14ac:dyDescent="0.2">
      <c r="A11" s="608" t="s">
        <v>809</v>
      </c>
      <c r="B11" s="609"/>
      <c r="C11" s="609"/>
      <c r="D11" s="609"/>
      <c r="E11" s="609"/>
    </row>
    <row r="12" spans="1:9" x14ac:dyDescent="0.2">
      <c r="A12" s="608" t="s">
        <v>45</v>
      </c>
      <c r="B12" s="609"/>
      <c r="C12" s="609"/>
      <c r="D12" s="609"/>
      <c r="E12" s="609"/>
    </row>
    <row r="13" spans="1:9" x14ac:dyDescent="0.2">
      <c r="A13" s="608" t="s">
        <v>850</v>
      </c>
      <c r="B13" s="609"/>
      <c r="C13" s="609"/>
      <c r="D13" s="609"/>
      <c r="E13" s="609"/>
    </row>
    <row r="14" spans="1:9" x14ac:dyDescent="0.2">
      <c r="A14" s="610" t="s">
        <v>775</v>
      </c>
      <c r="B14" s="609"/>
      <c r="C14" s="609"/>
      <c r="D14" s="609"/>
      <c r="E14" s="609"/>
    </row>
  </sheetData>
  <mergeCells count="9">
    <mergeCell ref="A11:E11"/>
    <mergeCell ref="A12:E12"/>
    <mergeCell ref="A13:E13"/>
    <mergeCell ref="A14:E14"/>
    <mergeCell ref="G1:I2"/>
    <mergeCell ref="A1:E1"/>
    <mergeCell ref="A3:E3"/>
    <mergeCell ref="A9:E9"/>
    <mergeCell ref="A10:E10"/>
  </mergeCells>
  <pageMargins left="0.6" right="0.79" top="0.79" bottom="1.06" header="0.3" footer="0.3"/>
  <pageSetup paperSize="9" fitToWidth="0" fitToHeight="0" orientation="portrait" horizontalDpi="300" verticalDpi="30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sqref="A1:C1"/>
    </sheetView>
  </sheetViews>
  <sheetFormatPr baseColWidth="10" defaultColWidth="9.140625" defaultRowHeight="12.75" x14ac:dyDescent="0.2"/>
  <cols>
    <col min="1" max="3" width="25.7109375" customWidth="1"/>
  </cols>
  <sheetData>
    <row r="1" spans="1:7" ht="39" customHeight="1" x14ac:dyDescent="0.2">
      <c r="A1" s="612" t="s">
        <v>851</v>
      </c>
      <c r="B1" s="609"/>
      <c r="C1" s="609"/>
      <c r="E1" s="611" t="str">
        <f>HYPERLINK("#'sommaire'!A1", "Retour sommaire")</f>
        <v>Retour sommaire</v>
      </c>
      <c r="F1" s="609"/>
      <c r="G1" s="609"/>
    </row>
    <row r="2" spans="1:7" x14ac:dyDescent="0.2">
      <c r="E2" s="609"/>
      <c r="F2" s="609"/>
      <c r="G2" s="609"/>
    </row>
    <row r="3" spans="1:7" x14ac:dyDescent="0.2">
      <c r="A3" s="619" t="s">
        <v>67</v>
      </c>
      <c r="B3" s="609"/>
      <c r="C3" s="609"/>
    </row>
    <row r="4" spans="1:7" x14ac:dyDescent="0.2">
      <c r="A4" s="4" t="s">
        <v>852</v>
      </c>
      <c r="B4" s="4" t="s">
        <v>95</v>
      </c>
      <c r="C4" s="4" t="s">
        <v>82</v>
      </c>
    </row>
    <row r="5" spans="1:7" x14ac:dyDescent="0.2">
      <c r="A5" s="614" t="s">
        <v>762</v>
      </c>
      <c r="B5" s="17" t="s">
        <v>853</v>
      </c>
      <c r="C5" s="519">
        <v>3</v>
      </c>
    </row>
    <row r="6" spans="1:7" x14ac:dyDescent="0.2">
      <c r="A6" s="614" t="s">
        <v>762</v>
      </c>
      <c r="B6" s="17" t="s">
        <v>561</v>
      </c>
      <c r="C6" s="519">
        <v>3</v>
      </c>
    </row>
    <row r="7" spans="1:7" x14ac:dyDescent="0.2">
      <c r="A7" s="614" t="s">
        <v>762</v>
      </c>
      <c r="B7" s="17" t="s">
        <v>55</v>
      </c>
      <c r="C7" s="519">
        <v>1</v>
      </c>
    </row>
    <row r="8" spans="1:7" x14ac:dyDescent="0.2">
      <c r="A8" s="614" t="s">
        <v>762</v>
      </c>
      <c r="B8" s="17" t="s">
        <v>562</v>
      </c>
      <c r="C8" s="519">
        <v>1</v>
      </c>
    </row>
    <row r="9" spans="1:7" x14ac:dyDescent="0.2">
      <c r="A9" s="17" t="s">
        <v>766</v>
      </c>
      <c r="B9" s="17" t="s">
        <v>853</v>
      </c>
      <c r="C9" s="519">
        <v>3</v>
      </c>
    </row>
    <row r="10" spans="1:7" x14ac:dyDescent="0.2">
      <c r="A10" s="614" t="s">
        <v>769</v>
      </c>
      <c r="B10" s="17" t="s">
        <v>559</v>
      </c>
      <c r="C10" s="519">
        <v>10</v>
      </c>
    </row>
    <row r="11" spans="1:7" x14ac:dyDescent="0.2">
      <c r="A11" s="614" t="s">
        <v>769</v>
      </c>
      <c r="B11" s="17" t="s">
        <v>854</v>
      </c>
      <c r="C11" s="519">
        <v>130</v>
      </c>
    </row>
    <row r="12" spans="1:7" x14ac:dyDescent="0.2">
      <c r="A12" s="614" t="s">
        <v>769</v>
      </c>
      <c r="B12" s="17" t="s">
        <v>562</v>
      </c>
      <c r="C12" s="519">
        <v>5</v>
      </c>
    </row>
    <row r="13" spans="1:7" x14ac:dyDescent="0.2">
      <c r="A13" s="614" t="s">
        <v>803</v>
      </c>
      <c r="B13" s="17" t="s">
        <v>853</v>
      </c>
      <c r="C13" s="519">
        <v>3</v>
      </c>
    </row>
    <row r="14" spans="1:7" x14ac:dyDescent="0.2">
      <c r="A14" s="614" t="s">
        <v>803</v>
      </c>
      <c r="B14" s="17" t="s">
        <v>562</v>
      </c>
      <c r="C14" s="519">
        <v>1</v>
      </c>
    </row>
    <row r="15" spans="1:7" x14ac:dyDescent="0.2">
      <c r="A15" s="608" t="s">
        <v>807</v>
      </c>
      <c r="B15" s="609"/>
      <c r="C15" s="609"/>
    </row>
    <row r="16" spans="1:7" x14ac:dyDescent="0.2">
      <c r="A16" s="608" t="s">
        <v>846</v>
      </c>
      <c r="B16" s="609"/>
      <c r="C16" s="609"/>
    </row>
    <row r="17" spans="1:3" x14ac:dyDescent="0.2">
      <c r="A17" s="608" t="s">
        <v>809</v>
      </c>
      <c r="B17" s="609"/>
      <c r="C17" s="609"/>
    </row>
    <row r="18" spans="1:3" x14ac:dyDescent="0.2">
      <c r="A18" s="608" t="s">
        <v>855</v>
      </c>
      <c r="B18" s="609"/>
      <c r="C18" s="609"/>
    </row>
    <row r="19" spans="1:3" x14ac:dyDescent="0.2">
      <c r="A19" s="608" t="s">
        <v>45</v>
      </c>
      <c r="B19" s="609"/>
      <c r="C19" s="609"/>
    </row>
    <row r="20" spans="1:3" x14ac:dyDescent="0.2">
      <c r="A20" s="608" t="s">
        <v>856</v>
      </c>
      <c r="B20" s="609"/>
      <c r="C20" s="609"/>
    </row>
    <row r="21" spans="1:3" x14ac:dyDescent="0.2">
      <c r="A21" s="608" t="s">
        <v>857</v>
      </c>
      <c r="B21" s="609"/>
      <c r="C21" s="609"/>
    </row>
    <row r="22" spans="1:3" x14ac:dyDescent="0.2">
      <c r="A22" s="608" t="s">
        <v>45</v>
      </c>
      <c r="B22" s="609"/>
      <c r="C22" s="609"/>
    </row>
    <row r="23" spans="1:3" x14ac:dyDescent="0.2">
      <c r="A23" s="610" t="s">
        <v>775</v>
      </c>
      <c r="B23" s="609"/>
      <c r="C23" s="609"/>
    </row>
  </sheetData>
  <mergeCells count="15">
    <mergeCell ref="E1:G2"/>
    <mergeCell ref="A1:C1"/>
    <mergeCell ref="A3:C3"/>
    <mergeCell ref="A15:C15"/>
    <mergeCell ref="A16:C16"/>
    <mergeCell ref="A22:C22"/>
    <mergeCell ref="A23:C23"/>
    <mergeCell ref="A5:A8"/>
    <mergeCell ref="A10:A12"/>
    <mergeCell ref="A13:A14"/>
    <mergeCell ref="A17:C17"/>
    <mergeCell ref="A18:C18"/>
    <mergeCell ref="A19:C19"/>
    <mergeCell ref="A20:C20"/>
    <mergeCell ref="A21:C21"/>
  </mergeCells>
  <pageMargins left="0.6" right="0.79" top="0.79" bottom="1.06" header="0.3" footer="0.3"/>
  <pageSetup paperSize="9" fitToWidth="0" fitToHeight="0" orientation="portrait" horizontalDpi="300" verticalDpi="30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activeCell="A19" sqref="A19:XFD19"/>
    </sheetView>
  </sheetViews>
  <sheetFormatPr baseColWidth="10" defaultColWidth="9.140625" defaultRowHeight="12.75" x14ac:dyDescent="0.2"/>
  <cols>
    <col min="1" max="1" width="18.7109375" customWidth="1"/>
    <col min="2" max="6" width="13.7109375" customWidth="1"/>
  </cols>
  <sheetData>
    <row r="1" spans="1:10" ht="39" customHeight="1" x14ac:dyDescent="0.2">
      <c r="A1" s="612" t="s">
        <v>858</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x14ac:dyDescent="0.2">
      <c r="A4" s="4" t="s">
        <v>859</v>
      </c>
      <c r="B4" s="4" t="s">
        <v>762</v>
      </c>
      <c r="C4" s="4" t="s">
        <v>766</v>
      </c>
      <c r="D4" s="4" t="s">
        <v>769</v>
      </c>
      <c r="E4" s="4" t="s">
        <v>803</v>
      </c>
      <c r="F4" s="4" t="s">
        <v>75</v>
      </c>
    </row>
    <row r="5" spans="1:10" x14ac:dyDescent="0.2">
      <c r="A5" s="17" t="s">
        <v>53</v>
      </c>
      <c r="B5" s="521">
        <v>1</v>
      </c>
      <c r="C5" s="523">
        <v>0</v>
      </c>
      <c r="D5" s="525">
        <v>0</v>
      </c>
      <c r="E5" s="527">
        <v>0</v>
      </c>
      <c r="F5" s="529">
        <v>1</v>
      </c>
    </row>
    <row r="6" spans="1:10" x14ac:dyDescent="0.2">
      <c r="A6" s="17" t="s">
        <v>55</v>
      </c>
      <c r="B6" s="521">
        <v>1</v>
      </c>
      <c r="C6" s="523">
        <v>0</v>
      </c>
      <c r="D6" s="525">
        <v>1</v>
      </c>
      <c r="E6" s="527">
        <v>0</v>
      </c>
      <c r="F6" s="529">
        <v>2</v>
      </c>
    </row>
    <row r="7" spans="1:10" x14ac:dyDescent="0.2">
      <c r="A7" s="17" t="s">
        <v>860</v>
      </c>
      <c r="B7" s="521">
        <v>2</v>
      </c>
      <c r="C7" s="523">
        <v>0</v>
      </c>
      <c r="D7" s="525">
        <v>1</v>
      </c>
      <c r="E7" s="527">
        <v>0</v>
      </c>
      <c r="F7" s="529">
        <v>3</v>
      </c>
    </row>
    <row r="8" spans="1:10" x14ac:dyDescent="0.2">
      <c r="A8" s="17" t="s">
        <v>559</v>
      </c>
      <c r="B8" s="521">
        <v>0</v>
      </c>
      <c r="C8" s="523">
        <v>0</v>
      </c>
      <c r="D8" s="525">
        <v>10</v>
      </c>
      <c r="E8" s="527">
        <v>0</v>
      </c>
      <c r="F8" s="529">
        <v>10</v>
      </c>
    </row>
    <row r="9" spans="1:10" x14ac:dyDescent="0.2">
      <c r="A9" s="17" t="s">
        <v>564</v>
      </c>
      <c r="B9" s="521">
        <v>0</v>
      </c>
      <c r="C9" s="523">
        <v>0</v>
      </c>
      <c r="D9" s="525">
        <v>1</v>
      </c>
      <c r="E9" s="527">
        <v>0</v>
      </c>
      <c r="F9" s="529">
        <v>1</v>
      </c>
    </row>
    <row r="10" spans="1:10" ht="25.5" x14ac:dyDescent="0.2">
      <c r="A10" s="17" t="s">
        <v>565</v>
      </c>
      <c r="B10" s="521">
        <v>0</v>
      </c>
      <c r="C10" s="523">
        <v>1</v>
      </c>
      <c r="D10" s="525">
        <v>9</v>
      </c>
      <c r="E10" s="527">
        <v>1</v>
      </c>
      <c r="F10" s="529">
        <v>11</v>
      </c>
    </row>
    <row r="11" spans="1:10" ht="25.5" x14ac:dyDescent="0.2">
      <c r="A11" s="17" t="s">
        <v>861</v>
      </c>
      <c r="B11" s="521">
        <v>4</v>
      </c>
      <c r="C11" s="523">
        <v>2</v>
      </c>
      <c r="D11" s="525">
        <v>123</v>
      </c>
      <c r="E11" s="527">
        <v>3</v>
      </c>
      <c r="F11" s="529">
        <v>132</v>
      </c>
    </row>
    <row r="12" spans="1:10" x14ac:dyDescent="0.2">
      <c r="A12" s="6" t="s">
        <v>75</v>
      </c>
      <c r="B12" s="520">
        <v>8</v>
      </c>
      <c r="C12" s="522">
        <v>3</v>
      </c>
      <c r="D12" s="524">
        <v>145</v>
      </c>
      <c r="E12" s="526">
        <v>4</v>
      </c>
      <c r="F12" s="528">
        <v>160</v>
      </c>
    </row>
    <row r="13" spans="1:10" ht="24" customHeight="1" x14ac:dyDescent="0.2">
      <c r="A13" s="608" t="s">
        <v>807</v>
      </c>
      <c r="B13" s="609"/>
      <c r="C13" s="609"/>
      <c r="D13" s="609"/>
      <c r="E13" s="609"/>
      <c r="F13" s="609"/>
    </row>
    <row r="14" spans="1:10" x14ac:dyDescent="0.2">
      <c r="A14" s="608" t="s">
        <v>846</v>
      </c>
      <c r="B14" s="609"/>
      <c r="C14" s="609"/>
      <c r="D14" s="609"/>
      <c r="E14" s="609"/>
      <c r="F14" s="609"/>
    </row>
    <row r="15" spans="1:10" ht="27.75" customHeight="1" x14ac:dyDescent="0.2">
      <c r="A15" s="608" t="s">
        <v>809</v>
      </c>
      <c r="B15" s="609"/>
      <c r="C15" s="609"/>
      <c r="D15" s="609"/>
      <c r="E15" s="609"/>
      <c r="F15" s="609"/>
    </row>
    <row r="16" spans="1:10" x14ac:dyDescent="0.2">
      <c r="A16" s="608" t="s">
        <v>862</v>
      </c>
      <c r="B16" s="609"/>
      <c r="C16" s="609"/>
      <c r="D16" s="609"/>
      <c r="E16" s="609"/>
      <c r="F16" s="609"/>
    </row>
    <row r="17" spans="1:6" x14ac:dyDescent="0.2">
      <c r="A17" s="608" t="s">
        <v>45</v>
      </c>
      <c r="B17" s="609"/>
      <c r="C17" s="609"/>
      <c r="D17" s="609"/>
      <c r="E17" s="609"/>
      <c r="F17" s="609"/>
    </row>
    <row r="18" spans="1:6" ht="27.75" customHeight="1" x14ac:dyDescent="0.2">
      <c r="A18" s="608" t="s">
        <v>926</v>
      </c>
      <c r="B18" s="609"/>
      <c r="C18" s="609"/>
      <c r="D18" s="609"/>
      <c r="E18" s="609"/>
      <c r="F18" s="609"/>
    </row>
    <row r="19" spans="1:6" x14ac:dyDescent="0.2">
      <c r="A19" s="608" t="s">
        <v>45</v>
      </c>
      <c r="B19" s="609"/>
      <c r="C19" s="609"/>
      <c r="D19" s="609"/>
      <c r="E19" s="609"/>
      <c r="F19" s="609"/>
    </row>
    <row r="20" spans="1:6" x14ac:dyDescent="0.2">
      <c r="A20" s="610" t="s">
        <v>775</v>
      </c>
      <c r="B20" s="609"/>
      <c r="C20" s="609"/>
      <c r="D20" s="609"/>
      <c r="E20" s="609"/>
      <c r="F20" s="609"/>
    </row>
  </sheetData>
  <mergeCells count="11">
    <mergeCell ref="H1:J2"/>
    <mergeCell ref="A1:F1"/>
    <mergeCell ref="A3:F3"/>
    <mergeCell ref="A13:F13"/>
    <mergeCell ref="A14:F14"/>
    <mergeCell ref="A19:F19"/>
    <mergeCell ref="A20:F20"/>
    <mergeCell ref="A15:F15"/>
    <mergeCell ref="A16:F16"/>
    <mergeCell ref="A17:F17"/>
    <mergeCell ref="A18:F18"/>
  </mergeCells>
  <pageMargins left="0.6" right="0.79" top="0.79" bottom="1.06" header="0.3" footer="0.3"/>
  <pageSetup paperSize="9" fitToWidth="0" fitToHeight="0" orientation="portrait" horizontalDpi="300" verticalDpi="30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F49" sqref="F49"/>
    </sheetView>
  </sheetViews>
  <sheetFormatPr baseColWidth="10" defaultColWidth="9.140625" defaultRowHeight="12.75" x14ac:dyDescent="0.2"/>
  <cols>
    <col min="1" max="1" width="23.7109375" customWidth="1"/>
    <col min="2" max="5" width="15.7109375" customWidth="1"/>
  </cols>
  <sheetData>
    <row r="1" spans="1:9" ht="39" customHeight="1" x14ac:dyDescent="0.2">
      <c r="A1" s="612" t="s">
        <v>863</v>
      </c>
      <c r="B1" s="609"/>
      <c r="C1" s="609"/>
      <c r="D1" s="609"/>
      <c r="E1" s="609"/>
      <c r="G1" s="611" t="str">
        <f>HYPERLINK("#'sommaire'!A1", "Retour sommaire")</f>
        <v>Retour sommaire</v>
      </c>
      <c r="H1" s="609"/>
      <c r="I1" s="609"/>
    </row>
    <row r="2" spans="1:9" x14ac:dyDescent="0.2">
      <c r="G2" s="609"/>
      <c r="H2" s="609"/>
      <c r="I2" s="609"/>
    </row>
    <row r="3" spans="1:9" x14ac:dyDescent="0.2">
      <c r="A3" s="619" t="s">
        <v>67</v>
      </c>
      <c r="B3" s="609"/>
      <c r="C3" s="609"/>
      <c r="D3" s="609"/>
      <c r="E3" s="609"/>
    </row>
    <row r="4" spans="1:9" x14ac:dyDescent="0.2">
      <c r="A4" s="4" t="s">
        <v>864</v>
      </c>
      <c r="B4" s="4" t="s">
        <v>762</v>
      </c>
      <c r="C4" s="4" t="s">
        <v>766</v>
      </c>
      <c r="D4" s="4" t="s">
        <v>769</v>
      </c>
      <c r="E4" s="4" t="s">
        <v>803</v>
      </c>
    </row>
    <row r="5" spans="1:9" ht="25.5" x14ac:dyDescent="0.2">
      <c r="A5" s="17" t="s">
        <v>568</v>
      </c>
      <c r="B5" s="530">
        <v>8</v>
      </c>
      <c r="C5" s="531">
        <v>3</v>
      </c>
      <c r="D5" s="532">
        <v>90</v>
      </c>
      <c r="E5" s="533">
        <v>4</v>
      </c>
    </row>
    <row r="6" spans="1:9" ht="25.5" x14ac:dyDescent="0.2">
      <c r="A6" s="17" t="s">
        <v>569</v>
      </c>
      <c r="B6" s="530">
        <v>0</v>
      </c>
      <c r="C6" s="531">
        <v>0</v>
      </c>
      <c r="D6" s="532">
        <v>47</v>
      </c>
      <c r="E6" s="533">
        <v>0</v>
      </c>
    </row>
    <row r="7" spans="1:9" x14ac:dyDescent="0.2">
      <c r="A7" s="17" t="s">
        <v>570</v>
      </c>
      <c r="B7" s="530">
        <v>0</v>
      </c>
      <c r="C7" s="531">
        <v>0</v>
      </c>
      <c r="D7" s="532">
        <v>8</v>
      </c>
      <c r="E7" s="533">
        <v>0</v>
      </c>
    </row>
    <row r="8" spans="1:9" x14ac:dyDescent="0.2">
      <c r="A8" s="17" t="s">
        <v>75</v>
      </c>
      <c r="B8" s="530">
        <v>8</v>
      </c>
      <c r="C8" s="531">
        <v>3</v>
      </c>
      <c r="D8" s="532">
        <v>145</v>
      </c>
      <c r="E8" s="533">
        <v>4</v>
      </c>
    </row>
    <row r="9" spans="1:9" ht="28.5" customHeight="1" x14ac:dyDescent="0.2">
      <c r="A9" s="608" t="s">
        <v>807</v>
      </c>
      <c r="B9" s="609"/>
      <c r="C9" s="609"/>
      <c r="D9" s="609"/>
      <c r="E9" s="609"/>
    </row>
    <row r="10" spans="1:9" x14ac:dyDescent="0.2">
      <c r="A10" s="608" t="s">
        <v>846</v>
      </c>
      <c r="B10" s="609"/>
      <c r="C10" s="609"/>
      <c r="D10" s="609"/>
      <c r="E10" s="609"/>
    </row>
    <row r="11" spans="1:9" ht="26.25" customHeight="1" x14ac:dyDescent="0.2">
      <c r="A11" s="608" t="s">
        <v>809</v>
      </c>
      <c r="B11" s="609"/>
      <c r="C11" s="609"/>
      <c r="D11" s="609"/>
      <c r="E11" s="609"/>
    </row>
    <row r="12" spans="1:9" x14ac:dyDescent="0.2">
      <c r="A12" s="608" t="s">
        <v>45</v>
      </c>
      <c r="B12" s="609"/>
      <c r="C12" s="609"/>
      <c r="D12" s="609"/>
      <c r="E12" s="609"/>
    </row>
    <row r="13" spans="1:9" ht="24.75" customHeight="1" x14ac:dyDescent="0.2">
      <c r="A13" s="608" t="s">
        <v>865</v>
      </c>
      <c r="B13" s="609"/>
      <c r="C13" s="609"/>
      <c r="D13" s="609"/>
      <c r="E13" s="609"/>
    </row>
    <row r="14" spans="1:9" x14ac:dyDescent="0.2">
      <c r="A14" s="608" t="s">
        <v>45</v>
      </c>
      <c r="B14" s="609"/>
      <c r="C14" s="609"/>
      <c r="D14" s="609"/>
      <c r="E14" s="609"/>
    </row>
    <row r="15" spans="1:9" x14ac:dyDescent="0.2">
      <c r="A15" s="610" t="s">
        <v>775</v>
      </c>
      <c r="B15" s="609"/>
      <c r="C15" s="609"/>
      <c r="D15" s="609"/>
      <c r="E15" s="609"/>
    </row>
  </sheetData>
  <mergeCells count="10">
    <mergeCell ref="G1:I2"/>
    <mergeCell ref="A1:E1"/>
    <mergeCell ref="A3:E3"/>
    <mergeCell ref="A9:E9"/>
    <mergeCell ref="A10:E10"/>
    <mergeCell ref="A11:E11"/>
    <mergeCell ref="A12:E12"/>
    <mergeCell ref="A13:E13"/>
    <mergeCell ref="A14:E14"/>
    <mergeCell ref="A15:E15"/>
  </mergeCells>
  <pageMargins left="0.6" right="0.79" top="0.79" bottom="1.06" header="0.3" footer="0.3"/>
  <pageSetup paperSize="9" fitToWidth="0" fitToHeight="0" orientation="portrait" horizontalDpi="300" verticalDpi="30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H1" sqref="H1:J2"/>
    </sheetView>
  </sheetViews>
  <sheetFormatPr baseColWidth="10" defaultColWidth="9.140625" defaultRowHeight="12.75" x14ac:dyDescent="0.2"/>
  <cols>
    <col min="1" max="1" width="17.7109375" customWidth="1"/>
    <col min="2" max="3" width="16.7109375" customWidth="1"/>
    <col min="4" max="4" width="1.7109375" customWidth="1"/>
    <col min="5" max="6" width="16.7109375" customWidth="1"/>
  </cols>
  <sheetData>
    <row r="1" spans="1:10" ht="39" customHeight="1" x14ac:dyDescent="0.2">
      <c r="A1" s="612" t="s">
        <v>866</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ht="36" customHeight="1" x14ac:dyDescent="0.2">
      <c r="A4" s="654" t="s">
        <v>852</v>
      </c>
      <c r="B4" s="640" t="s">
        <v>957</v>
      </c>
      <c r="C4" s="641"/>
      <c r="D4" s="641"/>
      <c r="E4" s="641"/>
      <c r="F4" s="642"/>
    </row>
    <row r="5" spans="1:10" s="572" customFormat="1" ht="51" customHeight="1" x14ac:dyDescent="0.2">
      <c r="A5" s="655"/>
      <c r="B5" s="640" t="s">
        <v>955</v>
      </c>
      <c r="C5" s="642"/>
      <c r="D5" s="654"/>
      <c r="E5" s="640" t="s">
        <v>956</v>
      </c>
      <c r="F5" s="642"/>
    </row>
    <row r="6" spans="1:10" s="572" customFormat="1" ht="22.5" customHeight="1" x14ac:dyDescent="0.2">
      <c r="A6" s="656"/>
      <c r="B6" s="4" t="s">
        <v>947</v>
      </c>
      <c r="C6" s="4" t="s">
        <v>875</v>
      </c>
      <c r="D6" s="656"/>
      <c r="E6" s="4" t="s">
        <v>947</v>
      </c>
      <c r="F6" s="4" t="s">
        <v>875</v>
      </c>
    </row>
    <row r="7" spans="1:10" x14ac:dyDescent="0.2">
      <c r="A7" s="17" t="s">
        <v>762</v>
      </c>
      <c r="B7" s="534">
        <v>8</v>
      </c>
      <c r="C7" s="535">
        <v>0</v>
      </c>
      <c r="D7" s="618"/>
      <c r="E7" s="536">
        <v>4</v>
      </c>
      <c r="F7" s="537">
        <v>4</v>
      </c>
    </row>
    <row r="8" spans="1:10" x14ac:dyDescent="0.2">
      <c r="A8" s="17" t="s">
        <v>766</v>
      </c>
      <c r="B8" s="534">
        <v>2</v>
      </c>
      <c r="C8" s="535">
        <v>1</v>
      </c>
      <c r="D8" s="618"/>
      <c r="E8" s="536">
        <v>2</v>
      </c>
      <c r="F8" s="537">
        <v>1</v>
      </c>
    </row>
    <row r="9" spans="1:10" x14ac:dyDescent="0.2">
      <c r="A9" s="17" t="s">
        <v>769</v>
      </c>
      <c r="B9" s="534">
        <v>82</v>
      </c>
      <c r="C9" s="535">
        <v>63</v>
      </c>
      <c r="D9" s="618"/>
      <c r="E9" s="536">
        <v>32</v>
      </c>
      <c r="F9" s="537">
        <v>113</v>
      </c>
    </row>
    <row r="10" spans="1:10" x14ac:dyDescent="0.2">
      <c r="A10" s="17" t="s">
        <v>803</v>
      </c>
      <c r="B10" s="534">
        <v>3</v>
      </c>
      <c r="C10" s="535">
        <v>1</v>
      </c>
      <c r="D10" s="618"/>
      <c r="E10" s="536">
        <v>2</v>
      </c>
      <c r="F10" s="537">
        <v>2</v>
      </c>
    </row>
    <row r="11" spans="1:10" ht="26.25" customHeight="1" x14ac:dyDescent="0.2">
      <c r="A11" s="608" t="s">
        <v>807</v>
      </c>
      <c r="B11" s="609"/>
      <c r="C11" s="609"/>
      <c r="D11" s="609"/>
      <c r="E11" s="609"/>
      <c r="F11" s="609"/>
    </row>
    <row r="12" spans="1:10" x14ac:dyDescent="0.2">
      <c r="A12" s="608" t="s">
        <v>846</v>
      </c>
      <c r="B12" s="609"/>
      <c r="C12" s="609"/>
      <c r="D12" s="609"/>
      <c r="E12" s="609"/>
      <c r="F12" s="609"/>
    </row>
    <row r="13" spans="1:10" ht="25.5" customHeight="1" x14ac:dyDescent="0.2">
      <c r="A13" s="608" t="s">
        <v>809</v>
      </c>
      <c r="B13" s="609"/>
      <c r="C13" s="609"/>
      <c r="D13" s="609"/>
      <c r="E13" s="609"/>
      <c r="F13" s="609"/>
    </row>
    <row r="14" spans="1:10" x14ac:dyDescent="0.2">
      <c r="A14" s="608" t="s">
        <v>45</v>
      </c>
      <c r="B14" s="609"/>
      <c r="C14" s="609"/>
      <c r="D14" s="609"/>
      <c r="E14" s="609"/>
      <c r="F14" s="609"/>
    </row>
    <row r="15" spans="1:10" ht="24.75" customHeight="1" x14ac:dyDescent="0.2">
      <c r="A15" s="608" t="s">
        <v>927</v>
      </c>
      <c r="B15" s="609"/>
      <c r="C15" s="609"/>
      <c r="D15" s="609"/>
      <c r="E15" s="609"/>
      <c r="F15" s="609"/>
    </row>
    <row r="16" spans="1:10" x14ac:dyDescent="0.2">
      <c r="A16" s="608" t="s">
        <v>45</v>
      </c>
      <c r="B16" s="609"/>
      <c r="C16" s="609"/>
      <c r="D16" s="609"/>
      <c r="E16" s="609"/>
      <c r="F16" s="609"/>
    </row>
    <row r="17" spans="1:6" x14ac:dyDescent="0.2">
      <c r="A17" s="610" t="s">
        <v>775</v>
      </c>
      <c r="B17" s="609"/>
      <c r="C17" s="609"/>
      <c r="D17" s="609"/>
      <c r="E17" s="609"/>
      <c r="F17" s="609"/>
    </row>
  </sheetData>
  <mergeCells count="16">
    <mergeCell ref="H1:J2"/>
    <mergeCell ref="A1:F1"/>
    <mergeCell ref="A3:F3"/>
    <mergeCell ref="A11:F11"/>
    <mergeCell ref="A12:F12"/>
    <mergeCell ref="A4:A6"/>
    <mergeCell ref="E5:F5"/>
    <mergeCell ref="B5:C5"/>
    <mergeCell ref="B4:F4"/>
    <mergeCell ref="D5:D6"/>
    <mergeCell ref="A17:F17"/>
    <mergeCell ref="D7:D10"/>
    <mergeCell ref="A13:F13"/>
    <mergeCell ref="A14:F14"/>
    <mergeCell ref="A15:F15"/>
    <mergeCell ref="A16:F16"/>
  </mergeCells>
  <pageMargins left="0.6" right="0.79" top="0.79" bottom="1.06" header="0.3" footer="0.3"/>
  <pageSetup paperSize="9" fitToWidth="0" fitToHeight="0" orientation="portrait" horizontalDpi="300" verticalDpi="30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D5" sqref="D5:D6"/>
    </sheetView>
  </sheetViews>
  <sheetFormatPr baseColWidth="10" defaultColWidth="9.140625" defaultRowHeight="12.75" x14ac:dyDescent="0.2"/>
  <cols>
    <col min="1" max="1" width="11.7109375" customWidth="1"/>
    <col min="2" max="3" width="17.7109375" customWidth="1"/>
    <col min="4" max="4" width="1.7109375" customWidth="1"/>
    <col min="5" max="6" width="17.7109375" customWidth="1"/>
  </cols>
  <sheetData>
    <row r="1" spans="1:10" ht="39" customHeight="1" x14ac:dyDescent="0.2">
      <c r="A1" s="612" t="s">
        <v>867</v>
      </c>
      <c r="B1" s="609"/>
      <c r="C1" s="609"/>
      <c r="D1" s="609"/>
      <c r="E1" s="609"/>
      <c r="F1" s="609"/>
      <c r="H1" s="611" t="str">
        <f>HYPERLINK("#'sommaire'!A1", "Retour sommaire")</f>
        <v>Retour sommaire</v>
      </c>
      <c r="I1" s="609"/>
      <c r="J1" s="609"/>
    </row>
    <row r="2" spans="1:10" x14ac:dyDescent="0.2">
      <c r="H2" s="609"/>
      <c r="I2" s="609"/>
      <c r="J2" s="609"/>
    </row>
    <row r="3" spans="1:10" x14ac:dyDescent="0.2">
      <c r="A3" s="619" t="s">
        <v>868</v>
      </c>
      <c r="B3" s="609"/>
      <c r="C3" s="609"/>
      <c r="D3" s="609"/>
      <c r="E3" s="609"/>
      <c r="F3" s="609"/>
    </row>
    <row r="4" spans="1:10" ht="38.25" customHeight="1" x14ac:dyDescent="0.2">
      <c r="A4" s="654" t="s">
        <v>852</v>
      </c>
      <c r="B4" s="640" t="s">
        <v>953</v>
      </c>
      <c r="C4" s="641"/>
      <c r="D4" s="641"/>
      <c r="E4" s="641"/>
      <c r="F4" s="642"/>
    </row>
    <row r="5" spans="1:10" s="572" customFormat="1" ht="18.75" customHeight="1" x14ac:dyDescent="0.2">
      <c r="A5" s="655"/>
      <c r="B5" s="640" t="s">
        <v>952</v>
      </c>
      <c r="C5" s="642"/>
      <c r="D5" s="654"/>
      <c r="E5" s="640" t="s">
        <v>954</v>
      </c>
      <c r="F5" s="642"/>
    </row>
    <row r="6" spans="1:10" s="572" customFormat="1" ht="20.25" customHeight="1" x14ac:dyDescent="0.2">
      <c r="A6" s="656"/>
      <c r="B6" s="4" t="s">
        <v>947</v>
      </c>
      <c r="C6" s="4" t="s">
        <v>875</v>
      </c>
      <c r="D6" s="656"/>
      <c r="E6" s="4" t="s">
        <v>947</v>
      </c>
      <c r="F6" s="4" t="s">
        <v>875</v>
      </c>
    </row>
    <row r="7" spans="1:10" x14ac:dyDescent="0.2">
      <c r="A7" s="17" t="s">
        <v>762</v>
      </c>
      <c r="B7" s="538">
        <v>4</v>
      </c>
      <c r="C7" s="539">
        <v>4</v>
      </c>
      <c r="D7" s="618"/>
      <c r="E7" s="540">
        <v>3</v>
      </c>
      <c r="F7" s="541">
        <v>5</v>
      </c>
    </row>
    <row r="8" spans="1:10" x14ac:dyDescent="0.2">
      <c r="A8" s="17" t="s">
        <v>766</v>
      </c>
      <c r="B8" s="538">
        <v>3</v>
      </c>
      <c r="C8" s="539">
        <v>0</v>
      </c>
      <c r="D8" s="618"/>
      <c r="E8" s="540">
        <v>1</v>
      </c>
      <c r="F8" s="541">
        <v>2</v>
      </c>
    </row>
    <row r="9" spans="1:10" x14ac:dyDescent="0.2">
      <c r="A9" s="17" t="s">
        <v>769</v>
      </c>
      <c r="B9" s="538">
        <v>125</v>
      </c>
      <c r="C9" s="539">
        <v>20</v>
      </c>
      <c r="D9" s="618"/>
      <c r="E9" s="540">
        <v>35</v>
      </c>
      <c r="F9" s="541">
        <v>110</v>
      </c>
    </row>
    <row r="10" spans="1:10" x14ac:dyDescent="0.2">
      <c r="A10" s="17" t="s">
        <v>803</v>
      </c>
      <c r="B10" s="538">
        <v>4</v>
      </c>
      <c r="C10" s="539">
        <v>0</v>
      </c>
      <c r="D10" s="618"/>
      <c r="E10" s="540">
        <v>2</v>
      </c>
      <c r="F10" s="541">
        <v>2</v>
      </c>
    </row>
    <row r="11" spans="1:10" ht="27.75" customHeight="1" x14ac:dyDescent="0.2">
      <c r="A11" s="608" t="s">
        <v>807</v>
      </c>
      <c r="B11" s="609"/>
      <c r="C11" s="609"/>
      <c r="D11" s="609"/>
      <c r="E11" s="609"/>
      <c r="F11" s="609"/>
    </row>
    <row r="12" spans="1:10" x14ac:dyDescent="0.2">
      <c r="A12" s="608" t="s">
        <v>846</v>
      </c>
      <c r="B12" s="609"/>
      <c r="C12" s="609"/>
      <c r="D12" s="609"/>
      <c r="E12" s="609"/>
      <c r="F12" s="609"/>
    </row>
    <row r="13" spans="1:10" ht="27.75" customHeight="1" x14ac:dyDescent="0.2">
      <c r="A13" s="608" t="s">
        <v>809</v>
      </c>
      <c r="B13" s="609"/>
      <c r="C13" s="609"/>
      <c r="D13" s="609"/>
      <c r="E13" s="609"/>
      <c r="F13" s="609"/>
    </row>
    <row r="14" spans="1:10" x14ac:dyDescent="0.2">
      <c r="A14" s="608" t="s">
        <v>45</v>
      </c>
      <c r="B14" s="609"/>
      <c r="C14" s="609"/>
      <c r="D14" s="609"/>
      <c r="E14" s="609"/>
      <c r="F14" s="609"/>
    </row>
    <row r="15" spans="1:10" ht="27" customHeight="1" x14ac:dyDescent="0.2">
      <c r="A15" s="608" t="s">
        <v>928</v>
      </c>
      <c r="B15" s="609"/>
      <c r="C15" s="609"/>
      <c r="D15" s="609"/>
      <c r="E15" s="609"/>
      <c r="F15" s="609"/>
    </row>
    <row r="16" spans="1:10" x14ac:dyDescent="0.2">
      <c r="A16" s="608" t="s">
        <v>45</v>
      </c>
      <c r="B16" s="609"/>
      <c r="C16" s="609"/>
      <c r="D16" s="609"/>
      <c r="E16" s="609"/>
      <c r="F16" s="609"/>
    </row>
    <row r="17" spans="1:6" x14ac:dyDescent="0.2">
      <c r="A17" s="610" t="s">
        <v>775</v>
      </c>
      <c r="B17" s="609"/>
      <c r="C17" s="609"/>
      <c r="D17" s="609"/>
      <c r="E17" s="609"/>
      <c r="F17" s="609"/>
    </row>
  </sheetData>
  <mergeCells count="16">
    <mergeCell ref="H1:J2"/>
    <mergeCell ref="A1:F1"/>
    <mergeCell ref="A3:F3"/>
    <mergeCell ref="A11:F11"/>
    <mergeCell ref="A12:F12"/>
    <mergeCell ref="D7:D10"/>
    <mergeCell ref="A4:A6"/>
    <mergeCell ref="B4:F4"/>
    <mergeCell ref="B5:C5"/>
    <mergeCell ref="E5:F5"/>
    <mergeCell ref="D5:D6"/>
    <mergeCell ref="A13:F13"/>
    <mergeCell ref="A14:F14"/>
    <mergeCell ref="A15:F15"/>
    <mergeCell ref="A16:F16"/>
    <mergeCell ref="A17:F17"/>
  </mergeCells>
  <pageMargins left="0.6" right="0.79" top="0.79" bottom="1.06" header="0.3" footer="0.3"/>
  <pageSetup paperSize="9" fitToWidth="0" fitToHeight="0" orientation="portrait" horizontalDpi="300" verticalDpi="30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H1" sqref="H1:J2"/>
    </sheetView>
  </sheetViews>
  <sheetFormatPr baseColWidth="10" defaultColWidth="9.140625" defaultRowHeight="12.75" x14ac:dyDescent="0.2"/>
  <cols>
    <col min="1" max="2" width="19.7109375" customWidth="1"/>
    <col min="3" max="3" width="12.7109375" customWidth="1"/>
    <col min="4" max="6" width="11.7109375" customWidth="1"/>
  </cols>
  <sheetData>
    <row r="1" spans="1:10" ht="39" customHeight="1" x14ac:dyDescent="0.2">
      <c r="A1" s="612" t="s">
        <v>869</v>
      </c>
      <c r="B1" s="609"/>
      <c r="C1" s="609"/>
      <c r="D1" s="609"/>
      <c r="E1" s="609"/>
      <c r="F1" s="609"/>
      <c r="H1" s="611" t="str">
        <f>HYPERLINK("#'sommaire'!A1", "Retour sommaire")</f>
        <v>Retour sommaire</v>
      </c>
      <c r="I1" s="609"/>
      <c r="J1" s="609"/>
    </row>
    <row r="2" spans="1:10" x14ac:dyDescent="0.2">
      <c r="H2" s="609"/>
      <c r="I2" s="609"/>
      <c r="J2" s="609"/>
    </row>
    <row r="3" spans="1:10" x14ac:dyDescent="0.2">
      <c r="A3" s="619" t="s">
        <v>575</v>
      </c>
      <c r="B3" s="609"/>
      <c r="C3" s="609"/>
      <c r="D3" s="609"/>
      <c r="E3" s="609"/>
      <c r="F3" s="609"/>
    </row>
    <row r="4" spans="1:10" x14ac:dyDescent="0.2">
      <c r="A4" s="4" t="s">
        <v>576</v>
      </c>
      <c r="B4" s="4" t="s">
        <v>16</v>
      </c>
      <c r="C4" s="4" t="s">
        <v>762</v>
      </c>
      <c r="D4" s="4" t="s">
        <v>766</v>
      </c>
      <c r="E4" s="4" t="s">
        <v>769</v>
      </c>
      <c r="F4" s="4" t="s">
        <v>803</v>
      </c>
    </row>
    <row r="5" spans="1:10" ht="25.5" x14ac:dyDescent="0.2">
      <c r="A5" s="614" t="s">
        <v>870</v>
      </c>
      <c r="B5" s="17" t="s">
        <v>578</v>
      </c>
      <c r="C5" s="542">
        <v>0</v>
      </c>
      <c r="D5" s="543">
        <v>0</v>
      </c>
      <c r="E5" s="544">
        <v>2.0689655172413799</v>
      </c>
      <c r="F5" s="545">
        <v>0</v>
      </c>
    </row>
    <row r="6" spans="1:10" ht="38.25" x14ac:dyDescent="0.2">
      <c r="A6" s="614" t="s">
        <v>870</v>
      </c>
      <c r="B6" s="17" t="s">
        <v>579</v>
      </c>
      <c r="C6" s="542">
        <v>12.5</v>
      </c>
      <c r="D6" s="543">
        <v>33.3333333333333</v>
      </c>
      <c r="E6" s="544">
        <v>2.7586206896551699</v>
      </c>
      <c r="F6" s="545">
        <v>50</v>
      </c>
    </row>
    <row r="7" spans="1:10" ht="38.25" x14ac:dyDescent="0.2">
      <c r="A7" s="614" t="s">
        <v>870</v>
      </c>
      <c r="B7" s="17" t="s">
        <v>580</v>
      </c>
      <c r="C7" s="542">
        <v>12.5</v>
      </c>
      <c r="D7" s="543">
        <v>0</v>
      </c>
      <c r="E7" s="544">
        <v>3.4482758620689702</v>
      </c>
      <c r="F7" s="545">
        <v>0</v>
      </c>
    </row>
    <row r="8" spans="1:10" x14ac:dyDescent="0.2">
      <c r="A8" s="614" t="s">
        <v>581</v>
      </c>
      <c r="B8" s="17" t="s">
        <v>871</v>
      </c>
      <c r="C8" s="542">
        <v>50</v>
      </c>
      <c r="D8" s="543">
        <v>66.6666666666667</v>
      </c>
      <c r="E8" s="544">
        <v>24.137931034482801</v>
      </c>
      <c r="F8" s="545">
        <v>100</v>
      </c>
    </row>
    <row r="9" spans="1:10" ht="38.25" x14ac:dyDescent="0.2">
      <c r="A9" s="614" t="s">
        <v>581</v>
      </c>
      <c r="B9" s="17" t="s">
        <v>583</v>
      </c>
      <c r="C9" s="542">
        <v>25</v>
      </c>
      <c r="D9" s="543">
        <v>0</v>
      </c>
      <c r="E9" s="544">
        <v>11.034482758620699</v>
      </c>
      <c r="F9" s="545">
        <v>25</v>
      </c>
    </row>
    <row r="10" spans="1:10" ht="25.5" x14ac:dyDescent="0.2">
      <c r="A10" s="614" t="s">
        <v>581</v>
      </c>
      <c r="B10" s="17" t="s">
        <v>584</v>
      </c>
      <c r="C10" s="542">
        <v>37.5</v>
      </c>
      <c r="D10" s="543">
        <v>0</v>
      </c>
      <c r="E10" s="544">
        <v>13.7931034482759</v>
      </c>
      <c r="F10" s="545">
        <v>50</v>
      </c>
    </row>
    <row r="11" spans="1:10" ht="27.75" customHeight="1" x14ac:dyDescent="0.2">
      <c r="A11" s="608" t="s">
        <v>807</v>
      </c>
      <c r="B11" s="609"/>
      <c r="C11" s="609"/>
      <c r="D11" s="609"/>
      <c r="E11" s="609"/>
      <c r="F11" s="609"/>
    </row>
    <row r="12" spans="1:10" x14ac:dyDescent="0.2">
      <c r="A12" s="608" t="s">
        <v>846</v>
      </c>
      <c r="B12" s="609"/>
      <c r="C12" s="609"/>
      <c r="D12" s="609"/>
      <c r="E12" s="609"/>
      <c r="F12" s="609"/>
    </row>
    <row r="13" spans="1:10" ht="30.75" customHeight="1" x14ac:dyDescent="0.2">
      <c r="A13" s="608" t="s">
        <v>809</v>
      </c>
      <c r="B13" s="609"/>
      <c r="C13" s="609"/>
      <c r="D13" s="609"/>
      <c r="E13" s="609"/>
      <c r="F13" s="609"/>
    </row>
    <row r="14" spans="1:10" ht="27.75" customHeight="1" x14ac:dyDescent="0.2">
      <c r="A14" s="608" t="s">
        <v>585</v>
      </c>
      <c r="B14" s="609"/>
      <c r="C14" s="609"/>
      <c r="D14" s="609"/>
      <c r="E14" s="609"/>
      <c r="F14" s="609"/>
    </row>
    <row r="15" spans="1:10" x14ac:dyDescent="0.2">
      <c r="A15" s="608" t="s">
        <v>45</v>
      </c>
      <c r="B15" s="609"/>
      <c r="C15" s="609"/>
      <c r="D15" s="609"/>
      <c r="E15" s="609"/>
      <c r="F15" s="609"/>
    </row>
    <row r="16" spans="1:10" ht="26.25" customHeight="1" x14ac:dyDescent="0.2">
      <c r="A16" s="608" t="s">
        <v>872</v>
      </c>
      <c r="B16" s="609"/>
      <c r="C16" s="609"/>
      <c r="D16" s="609"/>
      <c r="E16" s="609"/>
      <c r="F16" s="609"/>
    </row>
    <row r="17" spans="1:6" x14ac:dyDescent="0.2">
      <c r="A17" s="608" t="s">
        <v>45</v>
      </c>
      <c r="B17" s="609"/>
      <c r="C17" s="609"/>
      <c r="D17" s="609"/>
      <c r="E17" s="609"/>
      <c r="F17" s="609"/>
    </row>
    <row r="18" spans="1:6" x14ac:dyDescent="0.2">
      <c r="A18" s="610" t="s">
        <v>775</v>
      </c>
      <c r="B18" s="609"/>
      <c r="C18" s="609"/>
      <c r="D18" s="609"/>
      <c r="E18" s="609"/>
      <c r="F18" s="609"/>
    </row>
  </sheetData>
  <mergeCells count="13">
    <mergeCell ref="H1:J2"/>
    <mergeCell ref="A1:F1"/>
    <mergeCell ref="A3:F3"/>
    <mergeCell ref="A11:F11"/>
    <mergeCell ref="A12:F12"/>
    <mergeCell ref="A18:F18"/>
    <mergeCell ref="A5:A7"/>
    <mergeCell ref="A8:A10"/>
    <mergeCell ref="A13:F13"/>
    <mergeCell ref="A14:F14"/>
    <mergeCell ref="A15:F15"/>
    <mergeCell ref="A16:F16"/>
    <mergeCell ref="A17:F17"/>
  </mergeCells>
  <pageMargins left="0.6" right="0.79" top="0.79" bottom="1.06" header="0.3" footer="0.3"/>
  <pageSetup paperSize="9" fitToWidth="0" fitToHeight="0" orientation="portrait" horizontalDpi="300" verticalDpi="30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D1" sqref="D1:F2"/>
    </sheetView>
  </sheetViews>
  <sheetFormatPr baseColWidth="10" defaultColWidth="9.140625" defaultRowHeight="12.75" x14ac:dyDescent="0.2"/>
  <cols>
    <col min="1" max="1" width="50.7109375" customWidth="1"/>
    <col min="2" max="2" width="15.7109375" customWidth="1"/>
  </cols>
  <sheetData>
    <row r="1" spans="1:6" ht="39" customHeight="1" x14ac:dyDescent="0.2">
      <c r="A1" s="612" t="s">
        <v>873</v>
      </c>
      <c r="B1" s="609"/>
      <c r="D1" s="611" t="str">
        <f>HYPERLINK("#'sommaire'!A1", "Retour sommaire")</f>
        <v>Retour sommaire</v>
      </c>
      <c r="E1" s="609"/>
      <c r="F1" s="609"/>
    </row>
    <row r="2" spans="1:6" x14ac:dyDescent="0.2">
      <c r="D2" s="609"/>
      <c r="E2" s="609"/>
      <c r="F2" s="609"/>
    </row>
    <row r="3" spans="1:6" x14ac:dyDescent="0.2">
      <c r="A3" s="619" t="s">
        <v>24</v>
      </c>
      <c r="B3" s="609"/>
    </row>
    <row r="4" spans="1:6" ht="25.5" x14ac:dyDescent="0.2">
      <c r="A4" s="4" t="s">
        <v>590</v>
      </c>
      <c r="B4" s="4" t="s">
        <v>82</v>
      </c>
    </row>
    <row r="5" spans="1:6" x14ac:dyDescent="0.2">
      <c r="A5" s="17" t="s">
        <v>874</v>
      </c>
      <c r="B5" s="546">
        <v>1</v>
      </c>
    </row>
    <row r="6" spans="1:6" x14ac:dyDescent="0.2">
      <c r="A6" s="17" t="s">
        <v>875</v>
      </c>
      <c r="B6" s="546">
        <v>155</v>
      </c>
    </row>
    <row r="7" spans="1:6" x14ac:dyDescent="0.2">
      <c r="A7" s="17" t="s">
        <v>876</v>
      </c>
      <c r="B7" s="546">
        <v>4</v>
      </c>
    </row>
    <row r="8" spans="1:6" x14ac:dyDescent="0.2">
      <c r="A8" s="610" t="s">
        <v>775</v>
      </c>
      <c r="B8" s="609"/>
    </row>
  </sheetData>
  <mergeCells count="4">
    <mergeCell ref="D1:F2"/>
    <mergeCell ref="A1:B1"/>
    <mergeCell ref="A3:B3"/>
    <mergeCell ref="A8:B8"/>
  </mergeCells>
  <pageMargins left="0.6" right="0.79" top="0.79" bottom="1.06" header="0.3" footer="0.3"/>
  <pageSetup paperSize="9" fitToWidth="0" fitToHeight="0" orientation="portrait" horizontalDpi="300" verticalDpi="30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H1" sqref="H1:J2"/>
    </sheetView>
  </sheetViews>
  <sheetFormatPr baseColWidth="10" defaultColWidth="9.140625" defaultRowHeight="12.75" x14ac:dyDescent="0.2"/>
  <cols>
    <col min="1" max="2" width="19.7109375" customWidth="1"/>
    <col min="3" max="6" width="11.7109375" customWidth="1"/>
  </cols>
  <sheetData>
    <row r="1" spans="1:10" ht="39" customHeight="1" x14ac:dyDescent="0.2">
      <c r="A1" s="612" t="s">
        <v>877</v>
      </c>
      <c r="B1" s="609"/>
      <c r="C1" s="609"/>
      <c r="D1" s="609"/>
      <c r="E1" s="609"/>
      <c r="F1" s="609"/>
      <c r="H1" s="611" t="str">
        <f>HYPERLINK("#'sommaire'!A1", "Retour sommaire")</f>
        <v>Retour sommaire</v>
      </c>
      <c r="I1" s="609"/>
      <c r="J1" s="609"/>
    </row>
    <row r="2" spans="1:10" x14ac:dyDescent="0.2">
      <c r="H2" s="609"/>
      <c r="I2" s="609"/>
      <c r="J2" s="609"/>
    </row>
    <row r="3" spans="1:10" x14ac:dyDescent="0.2">
      <c r="A3" s="619" t="s">
        <v>67</v>
      </c>
      <c r="B3" s="609"/>
      <c r="C3" s="609"/>
      <c r="D3" s="609"/>
      <c r="E3" s="609"/>
      <c r="F3" s="609"/>
    </row>
    <row r="4" spans="1:10" ht="25.5" x14ac:dyDescent="0.2">
      <c r="A4" s="4" t="s">
        <v>878</v>
      </c>
      <c r="B4" s="4" t="s">
        <v>879</v>
      </c>
      <c r="C4" s="4" t="s">
        <v>762</v>
      </c>
      <c r="D4" s="4" t="s">
        <v>766</v>
      </c>
      <c r="E4" s="4" t="s">
        <v>769</v>
      </c>
      <c r="F4" s="4" t="s">
        <v>803</v>
      </c>
    </row>
    <row r="5" spans="1:10" x14ac:dyDescent="0.2">
      <c r="A5" s="17" t="s">
        <v>880</v>
      </c>
      <c r="B5" s="17"/>
      <c r="C5" s="548">
        <v>1</v>
      </c>
      <c r="D5" s="550"/>
      <c r="E5" s="552">
        <v>88</v>
      </c>
      <c r="F5" s="554">
        <v>1</v>
      </c>
    </row>
    <row r="6" spans="1:10" ht="25.5" x14ac:dyDescent="0.2">
      <c r="A6" s="17" t="s">
        <v>881</v>
      </c>
      <c r="B6" s="17" t="s">
        <v>882</v>
      </c>
      <c r="C6" s="548"/>
      <c r="D6" s="550"/>
      <c r="E6" s="552">
        <v>4</v>
      </c>
      <c r="F6" s="554"/>
    </row>
    <row r="7" spans="1:10" x14ac:dyDescent="0.2">
      <c r="A7" s="17" t="s">
        <v>881</v>
      </c>
      <c r="B7" s="17" t="s">
        <v>883</v>
      </c>
      <c r="C7" s="548"/>
      <c r="D7" s="550"/>
      <c r="E7" s="552">
        <v>2</v>
      </c>
      <c r="F7" s="554"/>
    </row>
    <row r="8" spans="1:10" ht="25.5" x14ac:dyDescent="0.2">
      <c r="A8" s="17" t="s">
        <v>884</v>
      </c>
      <c r="B8" s="17"/>
      <c r="C8" s="548"/>
      <c r="D8" s="550"/>
      <c r="E8" s="552">
        <v>4</v>
      </c>
      <c r="F8" s="554"/>
    </row>
    <row r="9" spans="1:10" x14ac:dyDescent="0.2">
      <c r="A9" s="17" t="s">
        <v>610</v>
      </c>
      <c r="B9" s="17"/>
      <c r="C9" s="548">
        <v>2</v>
      </c>
      <c r="D9" s="550"/>
      <c r="E9" s="552">
        <v>5</v>
      </c>
      <c r="F9" s="554">
        <v>1</v>
      </c>
    </row>
    <row r="10" spans="1:10" x14ac:dyDescent="0.2">
      <c r="A10" s="17" t="s">
        <v>885</v>
      </c>
      <c r="B10" s="17"/>
      <c r="C10" s="548"/>
      <c r="D10" s="550">
        <v>1</v>
      </c>
      <c r="E10" s="552">
        <v>5</v>
      </c>
      <c r="F10" s="554">
        <v>1</v>
      </c>
    </row>
    <row r="11" spans="1:10" x14ac:dyDescent="0.2">
      <c r="A11" s="17" t="s">
        <v>886</v>
      </c>
      <c r="B11" s="17" t="s">
        <v>883</v>
      </c>
      <c r="C11" s="548"/>
      <c r="D11" s="550"/>
      <c r="E11" s="552">
        <v>1</v>
      </c>
      <c r="F11" s="554"/>
    </row>
    <row r="12" spans="1:10" x14ac:dyDescent="0.2">
      <c r="A12" s="17" t="s">
        <v>562</v>
      </c>
      <c r="B12" s="17"/>
      <c r="C12" s="548"/>
      <c r="D12" s="550"/>
      <c r="E12" s="552">
        <v>18</v>
      </c>
      <c r="F12" s="554"/>
    </row>
    <row r="13" spans="1:10" x14ac:dyDescent="0.2">
      <c r="A13" s="17" t="s">
        <v>627</v>
      </c>
      <c r="B13" s="17"/>
      <c r="C13" s="548"/>
      <c r="D13" s="550">
        <v>2</v>
      </c>
      <c r="E13" s="552">
        <v>8</v>
      </c>
      <c r="F13" s="554"/>
    </row>
    <row r="14" spans="1:10" x14ac:dyDescent="0.2">
      <c r="A14" s="17" t="s">
        <v>887</v>
      </c>
      <c r="B14" s="17"/>
      <c r="C14" s="548">
        <v>4</v>
      </c>
      <c r="D14" s="550"/>
      <c r="E14" s="552">
        <v>7</v>
      </c>
      <c r="F14" s="554">
        <v>1</v>
      </c>
    </row>
    <row r="15" spans="1:10" x14ac:dyDescent="0.2">
      <c r="A15" s="17" t="s">
        <v>876</v>
      </c>
      <c r="B15" s="17"/>
      <c r="C15" s="548">
        <v>1</v>
      </c>
      <c r="D15" s="550"/>
      <c r="E15" s="552">
        <v>3</v>
      </c>
      <c r="F15" s="554"/>
    </row>
    <row r="16" spans="1:10" x14ac:dyDescent="0.2">
      <c r="A16" s="664" t="s">
        <v>75</v>
      </c>
      <c r="B16" s="664" t="s">
        <v>45</v>
      </c>
      <c r="C16" s="547">
        <v>8</v>
      </c>
      <c r="D16" s="549">
        <v>3</v>
      </c>
      <c r="E16" s="551">
        <v>145</v>
      </c>
      <c r="F16" s="553">
        <v>4</v>
      </c>
    </row>
    <row r="17" spans="1:6" ht="25.5" customHeight="1" x14ac:dyDescent="0.2">
      <c r="A17" s="608" t="s">
        <v>807</v>
      </c>
      <c r="B17" s="609"/>
      <c r="C17" s="609"/>
      <c r="D17" s="609"/>
      <c r="E17" s="609"/>
      <c r="F17" s="609"/>
    </row>
    <row r="18" spans="1:6" x14ac:dyDescent="0.2">
      <c r="A18" s="608" t="s">
        <v>846</v>
      </c>
      <c r="B18" s="609"/>
      <c r="C18" s="609"/>
      <c r="D18" s="609"/>
      <c r="E18" s="609"/>
      <c r="F18" s="609"/>
    </row>
    <row r="19" spans="1:6" ht="25.5" customHeight="1" x14ac:dyDescent="0.2">
      <c r="A19" s="608" t="s">
        <v>809</v>
      </c>
      <c r="B19" s="609"/>
      <c r="C19" s="609"/>
      <c r="D19" s="609"/>
      <c r="E19" s="609"/>
      <c r="F19" s="609"/>
    </row>
    <row r="20" spans="1:6" x14ac:dyDescent="0.2">
      <c r="A20" s="608" t="s">
        <v>45</v>
      </c>
      <c r="B20" s="609"/>
      <c r="C20" s="609"/>
      <c r="D20" s="609"/>
      <c r="E20" s="609"/>
      <c r="F20" s="609"/>
    </row>
    <row r="21" spans="1:6" ht="25.5" customHeight="1" x14ac:dyDescent="0.2">
      <c r="A21" s="608" t="s">
        <v>888</v>
      </c>
      <c r="B21" s="609"/>
      <c r="C21" s="609"/>
      <c r="D21" s="609"/>
      <c r="E21" s="609"/>
      <c r="F21" s="609"/>
    </row>
    <row r="22" spans="1:6" x14ac:dyDescent="0.2">
      <c r="A22" s="608" t="s">
        <v>45</v>
      </c>
      <c r="B22" s="609"/>
      <c r="C22" s="609"/>
      <c r="D22" s="609"/>
      <c r="E22" s="609"/>
      <c r="F22" s="609"/>
    </row>
    <row r="23" spans="1:6" x14ac:dyDescent="0.2">
      <c r="A23" s="610" t="s">
        <v>775</v>
      </c>
      <c r="B23" s="609"/>
      <c r="C23" s="609"/>
      <c r="D23" s="609"/>
      <c r="E23" s="609"/>
      <c r="F23" s="609"/>
    </row>
  </sheetData>
  <mergeCells count="11">
    <mergeCell ref="H1:J2"/>
    <mergeCell ref="A1:F1"/>
    <mergeCell ref="A3:F3"/>
    <mergeCell ref="A17:F17"/>
    <mergeCell ref="A18:F18"/>
    <mergeCell ref="A16:B16"/>
    <mergeCell ref="A19:F19"/>
    <mergeCell ref="A20:F20"/>
    <mergeCell ref="A21:F21"/>
    <mergeCell ref="A22:F22"/>
    <mergeCell ref="A23:F23"/>
  </mergeCells>
  <pageMargins left="0.6" right="0.79" top="0.79" bottom="1.06" header="0.3" footer="0.3"/>
  <pageSetup paperSize="9" fitToWidth="0" fitToHeight="0" orientation="portrait" horizontalDpi="300" verticalDpi="30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C30" sqref="C30"/>
    </sheetView>
  </sheetViews>
  <sheetFormatPr baseColWidth="10" defaultColWidth="9.140625" defaultRowHeight="12.75" x14ac:dyDescent="0.2"/>
  <cols>
    <col min="1" max="2" width="19.7109375" customWidth="1"/>
    <col min="3" max="6" width="11.7109375" customWidth="1"/>
  </cols>
  <sheetData>
    <row r="1" spans="1:10" ht="39" customHeight="1" x14ac:dyDescent="0.2">
      <c r="A1" s="612" t="s">
        <v>889</v>
      </c>
      <c r="B1" s="609"/>
      <c r="C1" s="609"/>
      <c r="D1" s="609"/>
      <c r="E1" s="609"/>
      <c r="F1" s="609"/>
      <c r="H1" s="611" t="str">
        <f>HYPERLINK("#'sommaire'!A1", "Retour sommaire")</f>
        <v>Retour sommaire</v>
      </c>
      <c r="I1" s="609"/>
      <c r="J1" s="609"/>
    </row>
    <row r="2" spans="1:10" x14ac:dyDescent="0.2">
      <c r="H2" s="609"/>
      <c r="I2" s="609"/>
      <c r="J2" s="609"/>
    </row>
    <row r="3" spans="1:10" x14ac:dyDescent="0.2">
      <c r="A3" s="619" t="s">
        <v>24</v>
      </c>
      <c r="B3" s="609"/>
      <c r="C3" s="609"/>
      <c r="D3" s="609"/>
      <c r="E3" s="609"/>
      <c r="F3" s="609"/>
    </row>
    <row r="4" spans="1:10" ht="25.5" x14ac:dyDescent="0.2">
      <c r="A4" s="4" t="s">
        <v>890</v>
      </c>
      <c r="B4" s="4" t="s">
        <v>891</v>
      </c>
      <c r="C4" s="4" t="s">
        <v>762</v>
      </c>
      <c r="D4" s="4" t="s">
        <v>766</v>
      </c>
      <c r="E4" s="4" t="s">
        <v>769</v>
      </c>
      <c r="F4" s="4" t="s">
        <v>803</v>
      </c>
    </row>
    <row r="5" spans="1:10" x14ac:dyDescent="0.2">
      <c r="A5" s="17" t="s">
        <v>892</v>
      </c>
      <c r="B5" s="17" t="s">
        <v>172</v>
      </c>
      <c r="C5" s="556"/>
      <c r="D5" s="558"/>
      <c r="E5" s="560">
        <v>8</v>
      </c>
      <c r="F5" s="562">
        <v>1</v>
      </c>
    </row>
    <row r="6" spans="1:10" ht="25.5" x14ac:dyDescent="0.2">
      <c r="A6" s="17" t="s">
        <v>893</v>
      </c>
      <c r="B6" s="17" t="s">
        <v>172</v>
      </c>
      <c r="C6" s="556"/>
      <c r="D6" s="558"/>
      <c r="E6" s="560">
        <v>4</v>
      </c>
      <c r="F6" s="562">
        <v>1</v>
      </c>
    </row>
    <row r="7" spans="1:10" ht="25.5" x14ac:dyDescent="0.2">
      <c r="A7" s="17" t="s">
        <v>894</v>
      </c>
      <c r="B7" s="17" t="s">
        <v>895</v>
      </c>
      <c r="C7" s="556"/>
      <c r="D7" s="558"/>
      <c r="E7" s="560">
        <v>8</v>
      </c>
      <c r="F7" s="562"/>
    </row>
    <row r="8" spans="1:10" x14ac:dyDescent="0.2">
      <c r="A8" s="17" t="s">
        <v>896</v>
      </c>
      <c r="B8" s="17" t="s">
        <v>897</v>
      </c>
      <c r="C8" s="556"/>
      <c r="D8" s="558">
        <v>1</v>
      </c>
      <c r="E8" s="560"/>
      <c r="F8" s="562"/>
    </row>
    <row r="9" spans="1:10" x14ac:dyDescent="0.2">
      <c r="A9" s="17" t="s">
        <v>898</v>
      </c>
      <c r="B9" s="17" t="s">
        <v>172</v>
      </c>
      <c r="C9" s="556"/>
      <c r="D9" s="558">
        <v>1</v>
      </c>
      <c r="E9" s="560"/>
      <c r="F9" s="562"/>
    </row>
    <row r="10" spans="1:10" x14ac:dyDescent="0.2">
      <c r="A10" s="17" t="s">
        <v>899</v>
      </c>
      <c r="B10" s="17" t="s">
        <v>172</v>
      </c>
      <c r="C10" s="556"/>
      <c r="D10" s="558"/>
      <c r="E10" s="560">
        <v>1</v>
      </c>
      <c r="F10" s="562"/>
    </row>
    <row r="11" spans="1:10" x14ac:dyDescent="0.2">
      <c r="A11" s="17" t="s">
        <v>900</v>
      </c>
      <c r="B11" s="17" t="s">
        <v>172</v>
      </c>
      <c r="C11" s="556">
        <v>1</v>
      </c>
      <c r="D11" s="558"/>
      <c r="E11" s="560"/>
      <c r="F11" s="562"/>
    </row>
    <row r="12" spans="1:10" x14ac:dyDescent="0.2">
      <c r="A12" s="17" t="s">
        <v>901</v>
      </c>
      <c r="B12" s="17" t="s">
        <v>172</v>
      </c>
      <c r="C12" s="556">
        <v>1</v>
      </c>
      <c r="D12" s="558"/>
      <c r="E12" s="560">
        <v>1</v>
      </c>
      <c r="F12" s="562"/>
    </row>
    <row r="13" spans="1:10" x14ac:dyDescent="0.2">
      <c r="A13" s="17" t="s">
        <v>902</v>
      </c>
      <c r="B13" s="17" t="s">
        <v>172</v>
      </c>
      <c r="C13" s="556"/>
      <c r="D13" s="558"/>
      <c r="E13" s="560">
        <v>27</v>
      </c>
      <c r="F13" s="562"/>
    </row>
    <row r="14" spans="1:10" x14ac:dyDescent="0.2">
      <c r="A14" s="17" t="s">
        <v>903</v>
      </c>
      <c r="B14" s="17" t="s">
        <v>904</v>
      </c>
      <c r="C14" s="556"/>
      <c r="D14" s="558"/>
      <c r="E14" s="560">
        <v>44</v>
      </c>
      <c r="F14" s="562"/>
    </row>
    <row r="15" spans="1:10" x14ac:dyDescent="0.2">
      <c r="A15" s="17" t="s">
        <v>760</v>
      </c>
      <c r="B15" s="17" t="s">
        <v>172</v>
      </c>
      <c r="C15" s="556">
        <v>6</v>
      </c>
      <c r="D15" s="558">
        <v>1</v>
      </c>
      <c r="E15" s="560">
        <v>52</v>
      </c>
      <c r="F15" s="562">
        <v>2</v>
      </c>
    </row>
    <row r="16" spans="1:10" x14ac:dyDescent="0.2">
      <c r="A16" s="664" t="s">
        <v>75</v>
      </c>
      <c r="B16" s="664" t="s">
        <v>45</v>
      </c>
      <c r="C16" s="555">
        <v>8</v>
      </c>
      <c r="D16" s="557">
        <v>3</v>
      </c>
      <c r="E16" s="559">
        <v>145</v>
      </c>
      <c r="F16" s="561">
        <v>4</v>
      </c>
    </row>
    <row r="17" spans="1:6" ht="30" customHeight="1" x14ac:dyDescent="0.2">
      <c r="A17" s="608" t="s">
        <v>807</v>
      </c>
      <c r="B17" s="609"/>
      <c r="C17" s="609"/>
      <c r="D17" s="609"/>
      <c r="E17" s="609"/>
      <c r="F17" s="609"/>
    </row>
    <row r="18" spans="1:6" x14ac:dyDescent="0.2">
      <c r="A18" s="608" t="s">
        <v>846</v>
      </c>
      <c r="B18" s="609"/>
      <c r="C18" s="609"/>
      <c r="D18" s="609"/>
      <c r="E18" s="609"/>
      <c r="F18" s="609"/>
    </row>
    <row r="19" spans="1:6" ht="27" customHeight="1" x14ac:dyDescent="0.2">
      <c r="A19" s="608" t="s">
        <v>809</v>
      </c>
      <c r="B19" s="609"/>
      <c r="C19" s="609"/>
      <c r="D19" s="609"/>
      <c r="E19" s="609"/>
      <c r="F19" s="609"/>
    </row>
    <row r="20" spans="1:6" x14ac:dyDescent="0.2">
      <c r="A20" s="608" t="s">
        <v>45</v>
      </c>
      <c r="B20" s="609"/>
      <c r="C20" s="609"/>
      <c r="D20" s="609"/>
      <c r="E20" s="609"/>
      <c r="F20" s="609"/>
    </row>
    <row r="21" spans="1:6" ht="30" customHeight="1" x14ac:dyDescent="0.2">
      <c r="A21" s="608" t="s">
        <v>929</v>
      </c>
      <c r="B21" s="609"/>
      <c r="C21" s="609"/>
      <c r="D21" s="609"/>
      <c r="E21" s="609"/>
      <c r="F21" s="609"/>
    </row>
    <row r="22" spans="1:6" x14ac:dyDescent="0.2">
      <c r="A22" s="608" t="s">
        <v>45</v>
      </c>
      <c r="B22" s="609"/>
      <c r="C22" s="609"/>
      <c r="D22" s="609"/>
      <c r="E22" s="609"/>
      <c r="F22" s="609"/>
    </row>
    <row r="23" spans="1:6" x14ac:dyDescent="0.2">
      <c r="A23" s="610" t="s">
        <v>775</v>
      </c>
      <c r="B23" s="609"/>
      <c r="C23" s="609"/>
      <c r="D23" s="609"/>
      <c r="E23" s="609"/>
      <c r="F23" s="609"/>
    </row>
  </sheetData>
  <mergeCells count="11">
    <mergeCell ref="H1:J2"/>
    <mergeCell ref="A1:F1"/>
    <mergeCell ref="A3:F3"/>
    <mergeCell ref="A17:F17"/>
    <mergeCell ref="A18:F18"/>
    <mergeCell ref="A16:B16"/>
    <mergeCell ref="A19:F19"/>
    <mergeCell ref="A20:F20"/>
    <mergeCell ref="A21:F21"/>
    <mergeCell ref="A22:F22"/>
    <mergeCell ref="A23:F23"/>
  </mergeCells>
  <pageMargins left="0.6" right="0.79" top="0.79" bottom="1.06" header="0.3" footer="0.3"/>
  <pageSetup paperSize="9" fitToWidth="0" fitToHeight="0" orientation="portrait" horizontalDpi="300" verticalDpi="30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sqref="A1:D1"/>
    </sheetView>
  </sheetViews>
  <sheetFormatPr baseColWidth="10" defaultColWidth="9.140625" defaultRowHeight="12.75" x14ac:dyDescent="0.2"/>
  <cols>
    <col min="1" max="4" width="20.7109375" customWidth="1"/>
  </cols>
  <sheetData>
    <row r="1" spans="1:8" ht="15" customHeight="1" x14ac:dyDescent="0.2">
      <c r="A1" s="612" t="s">
        <v>905</v>
      </c>
      <c r="B1" s="609"/>
      <c r="C1" s="609"/>
      <c r="D1" s="609"/>
      <c r="F1" s="611" t="str">
        <f>HYPERLINK("#'sommaire'!A1", "Retour sommaire")</f>
        <v>Retour sommaire</v>
      </c>
      <c r="G1" s="609"/>
      <c r="H1" s="609"/>
    </row>
    <row r="2" spans="1:8" x14ac:dyDescent="0.2">
      <c r="F2" s="609"/>
      <c r="G2" s="609"/>
      <c r="H2" s="609"/>
    </row>
    <row r="3" spans="1:8" ht="25.5" x14ac:dyDescent="0.2">
      <c r="A3" s="4" t="s">
        <v>680</v>
      </c>
      <c r="B3" s="4" t="s">
        <v>681</v>
      </c>
      <c r="C3" s="4" t="s">
        <v>682</v>
      </c>
      <c r="D3" s="4" t="s">
        <v>683</v>
      </c>
    </row>
    <row r="4" spans="1:8" x14ac:dyDescent="0.2">
      <c r="A4" s="17" t="s">
        <v>906</v>
      </c>
      <c r="B4" s="17" t="s">
        <v>688</v>
      </c>
      <c r="C4" s="17" t="s">
        <v>907</v>
      </c>
      <c r="D4" s="564">
        <v>1</v>
      </c>
    </row>
    <row r="5" spans="1:8" x14ac:dyDescent="0.2">
      <c r="A5" s="17" t="s">
        <v>906</v>
      </c>
      <c r="B5" s="17" t="s">
        <v>688</v>
      </c>
      <c r="C5" s="17" t="s">
        <v>908</v>
      </c>
      <c r="D5" s="564">
        <v>1</v>
      </c>
    </row>
    <row r="6" spans="1:8" x14ac:dyDescent="0.2">
      <c r="A6" s="17" t="s">
        <v>906</v>
      </c>
      <c r="B6" s="17" t="s">
        <v>688</v>
      </c>
      <c r="C6" s="17" t="s">
        <v>909</v>
      </c>
      <c r="D6" s="564">
        <v>3</v>
      </c>
    </row>
    <row r="7" spans="1:8" x14ac:dyDescent="0.2">
      <c r="A7" s="17" t="s">
        <v>910</v>
      </c>
      <c r="B7" s="17" t="s">
        <v>911</v>
      </c>
      <c r="C7" s="17" t="s">
        <v>912</v>
      </c>
      <c r="D7" s="564">
        <v>2</v>
      </c>
    </row>
    <row r="8" spans="1:8" x14ac:dyDescent="0.2">
      <c r="A8" s="664" t="s">
        <v>75</v>
      </c>
      <c r="B8" s="664" t="s">
        <v>172</v>
      </c>
      <c r="C8" s="664" t="s">
        <v>172</v>
      </c>
      <c r="D8" s="563">
        <v>7</v>
      </c>
    </row>
    <row r="9" spans="1:8" x14ac:dyDescent="0.2">
      <c r="A9" s="610" t="s">
        <v>775</v>
      </c>
      <c r="B9" s="609"/>
      <c r="C9" s="609"/>
      <c r="D9" s="609"/>
    </row>
  </sheetData>
  <mergeCells count="4">
    <mergeCell ref="F1:H2"/>
    <mergeCell ref="A1:D1"/>
    <mergeCell ref="A9:D9"/>
    <mergeCell ref="A8:C8"/>
  </mergeCells>
  <pageMargins left="0.6" right="0.79" top="0.79" bottom="1.06" header="0.3" footer="0.3"/>
  <pageSetup paperSize="9" fitToWidth="0" fitToHeight="0" orientation="portrait" horizontalDpi="300" verticalDpi="30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E1" sqref="E1:G2"/>
    </sheetView>
  </sheetViews>
  <sheetFormatPr baseColWidth="10" defaultColWidth="9.140625" defaultRowHeight="12.75" x14ac:dyDescent="0.2"/>
  <cols>
    <col min="1" max="1" width="51.7109375" customWidth="1"/>
    <col min="2" max="3" width="16.7109375" customWidth="1"/>
  </cols>
  <sheetData>
    <row r="1" spans="1:7" ht="39" customHeight="1" x14ac:dyDescent="0.2">
      <c r="A1" s="612" t="s">
        <v>913</v>
      </c>
      <c r="B1" s="609"/>
      <c r="C1" s="609"/>
      <c r="E1" s="611" t="str">
        <f>HYPERLINK("#'sommaire'!A1", "Retour sommaire")</f>
        <v>Retour sommaire</v>
      </c>
      <c r="F1" s="609"/>
      <c r="G1" s="609"/>
    </row>
    <row r="2" spans="1:7" x14ac:dyDescent="0.2">
      <c r="E2" s="609"/>
      <c r="F2" s="609"/>
      <c r="G2" s="609"/>
    </row>
    <row r="3" spans="1:7" x14ac:dyDescent="0.2">
      <c r="A3" s="619" t="s">
        <v>24</v>
      </c>
      <c r="B3" s="609"/>
      <c r="C3" s="609"/>
    </row>
    <row r="4" spans="1:7" ht="38.25" x14ac:dyDescent="0.2">
      <c r="A4" s="4" t="s">
        <v>756</v>
      </c>
      <c r="B4" s="4" t="s">
        <v>914</v>
      </c>
      <c r="C4" s="4" t="s">
        <v>769</v>
      </c>
    </row>
    <row r="5" spans="1:7" ht="25.5" x14ac:dyDescent="0.2">
      <c r="A5" s="17" t="s">
        <v>757</v>
      </c>
      <c r="B5" s="566">
        <v>10</v>
      </c>
      <c r="C5" s="568">
        <v>101</v>
      </c>
    </row>
    <row r="6" spans="1:7" x14ac:dyDescent="0.2">
      <c r="A6" s="17" t="s">
        <v>915</v>
      </c>
      <c r="B6" s="618">
        <v>3</v>
      </c>
      <c r="C6" s="568">
        <v>28</v>
      </c>
    </row>
    <row r="7" spans="1:7" ht="25.5" x14ac:dyDescent="0.2">
      <c r="A7" s="17" t="s">
        <v>759</v>
      </c>
      <c r="B7" s="618">
        <v>0</v>
      </c>
      <c r="C7" s="568">
        <v>12</v>
      </c>
    </row>
    <row r="8" spans="1:7" x14ac:dyDescent="0.2">
      <c r="A8" s="17" t="s">
        <v>760</v>
      </c>
      <c r="B8" s="566">
        <v>2</v>
      </c>
      <c r="C8" s="568">
        <v>4</v>
      </c>
    </row>
    <row r="9" spans="1:7" x14ac:dyDescent="0.2">
      <c r="A9" s="6" t="s">
        <v>75</v>
      </c>
      <c r="B9" s="565">
        <v>15</v>
      </c>
      <c r="C9" s="567">
        <v>145</v>
      </c>
    </row>
    <row r="10" spans="1:7" ht="25.5" customHeight="1" x14ac:dyDescent="0.2">
      <c r="A10" s="608" t="s">
        <v>916</v>
      </c>
      <c r="B10" s="609"/>
      <c r="C10" s="609"/>
    </row>
    <row r="11" spans="1:7" ht="24" customHeight="1" x14ac:dyDescent="0.2">
      <c r="A11" s="608" t="s">
        <v>917</v>
      </c>
      <c r="B11" s="609"/>
      <c r="C11" s="609"/>
    </row>
    <row r="12" spans="1:7" ht="15" customHeight="1" x14ac:dyDescent="0.2">
      <c r="A12" s="608" t="s">
        <v>918</v>
      </c>
      <c r="B12" s="609"/>
      <c r="C12" s="609"/>
    </row>
    <row r="13" spans="1:7" x14ac:dyDescent="0.2">
      <c r="A13" s="608" t="s">
        <v>919</v>
      </c>
      <c r="B13" s="609"/>
      <c r="C13" s="609"/>
    </row>
    <row r="14" spans="1:7" x14ac:dyDescent="0.2">
      <c r="A14" s="610" t="s">
        <v>775</v>
      </c>
      <c r="B14" s="609"/>
      <c r="C14" s="609"/>
    </row>
  </sheetData>
  <mergeCells count="9">
    <mergeCell ref="A12:C12"/>
    <mergeCell ref="A13:C13"/>
    <mergeCell ref="A14:C14"/>
    <mergeCell ref="B6:B7"/>
    <mergeCell ref="E1:G2"/>
    <mergeCell ref="A1:C1"/>
    <mergeCell ref="A3:C3"/>
    <mergeCell ref="A10:C10"/>
    <mergeCell ref="A11:C11"/>
  </mergeCells>
  <pageMargins left="0.6" right="0.79" top="0.79" bottom="1.06" header="0.3" footer="0.3"/>
  <pageSetup paperSize="9" fitToWidth="0"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89</vt:i4>
      </vt:variant>
    </vt:vector>
  </HeadingPairs>
  <TitlesOfParts>
    <vt:vector size="89" baseType="lpstr">
      <vt:lpstr>sommaire</vt:lpstr>
      <vt:lpstr>aquaculture_hors_ecloserie</vt:lpstr>
      <vt:lpstr>evolution_aqua_ca_ventes</vt:lpstr>
      <vt:lpstr>evolution_aqua_vol_ventes</vt:lpstr>
      <vt:lpstr>strate_CA</vt:lpstr>
      <vt:lpstr>strate_ETP</vt:lpstr>
      <vt:lpstr>emploi_aquaculture</vt:lpstr>
      <vt:lpstr>conchyliculture_emploi</vt:lpstr>
      <vt:lpstr>pisciculture_emploi</vt:lpstr>
      <vt:lpstr>algoculture_emploi</vt:lpstr>
      <vt:lpstr>emploi_femmes</vt:lpstr>
      <vt:lpstr>emploi_age_dirigeant</vt:lpstr>
      <vt:lpstr>emploi_diplome_dirigeant</vt:lpstr>
      <vt:lpstr>emploi_regime_social_dirigeant</vt:lpstr>
      <vt:lpstr>conchyliculture_france</vt:lpstr>
      <vt:lpstr>conchyliculture_region</vt:lpstr>
      <vt:lpstr>conchyliculture_mode_elevage</vt:lpstr>
      <vt:lpstr>conchyliculture_ecloserie</vt:lpstr>
      <vt:lpstr>conchyliculture_captage</vt:lpstr>
      <vt:lpstr>conchyliculture_origine</vt:lpstr>
      <vt:lpstr>ostreiculture_origine_region</vt:lpstr>
      <vt:lpstr>conchyliculture_destination</vt:lpstr>
      <vt:lpstr>conchyliculture_claires</vt:lpstr>
      <vt:lpstr>conchy_claires_repartition</vt:lpstr>
      <vt:lpstr>conchyliculture_qualite</vt:lpstr>
      <vt:lpstr>ostreiculture_qualite</vt:lpstr>
      <vt:lpstr>mytiliculture_qualite</vt:lpstr>
      <vt:lpstr>conchy_siege_lieu</vt:lpstr>
      <vt:lpstr>conchy_lieu_detaille</vt:lpstr>
      <vt:lpstr>pisciculture_france</vt:lpstr>
      <vt:lpstr>pisciculture_region</vt:lpstr>
      <vt:lpstr>pisciculture_ecloserie</vt:lpstr>
      <vt:lpstr>pisciculture_CA_region</vt:lpstr>
      <vt:lpstr>pisciculture_evenements_except</vt:lpstr>
      <vt:lpstr>pisci_eau_douce_destination</vt:lpstr>
      <vt:lpstr>pisci_marine_destination</vt:lpstr>
      <vt:lpstr>pisci_oeufs_destination</vt:lpstr>
      <vt:lpstr>export_pisciculture</vt:lpstr>
      <vt:lpstr>pisciculture_calibre</vt:lpstr>
      <vt:lpstr>pisciculture_selon_transfo</vt:lpstr>
      <vt:lpstr>pisciculture_lignee</vt:lpstr>
      <vt:lpstr>pisciculture_alimentation</vt:lpstr>
      <vt:lpstr>pisciculture_statut</vt:lpstr>
      <vt:lpstr>pisciculture_site</vt:lpstr>
      <vt:lpstr>pisciculture_activite_pincipale</vt:lpstr>
      <vt:lpstr>pisci_activite_secondaire</vt:lpstr>
      <vt:lpstr>pisciculture_compta</vt:lpstr>
      <vt:lpstr>pisciculture_conseil</vt:lpstr>
      <vt:lpstr>pisciculture_assurance</vt:lpstr>
      <vt:lpstr>pisciculture_innovation</vt:lpstr>
      <vt:lpstr>pisciculture_AMTI</vt:lpstr>
      <vt:lpstr>pisciculture_rejet_entree</vt:lpstr>
      <vt:lpstr>pisciculture_rejet_traitement</vt:lpstr>
      <vt:lpstr>pisciculture_rejet_boue</vt:lpstr>
      <vt:lpstr>pisciculture_recircule</vt:lpstr>
      <vt:lpstr>pisciculture_predation</vt:lpstr>
      <vt:lpstr>pisciculture_distri_aliments</vt:lpstr>
      <vt:lpstr>pisciculture_oxygene</vt:lpstr>
      <vt:lpstr>pisciculture_aeration</vt:lpstr>
      <vt:lpstr>pisciculture_manipulation</vt:lpstr>
      <vt:lpstr>pisciculture_passes_poissons</vt:lpstr>
      <vt:lpstr>pisciculture_abattage</vt:lpstr>
      <vt:lpstr>pisciculture_navire</vt:lpstr>
      <vt:lpstr>pisciculture_sites_bio</vt:lpstr>
      <vt:lpstr>pisciculture_qualite</vt:lpstr>
      <vt:lpstr>pisciculture_qualite_systeme</vt:lpstr>
      <vt:lpstr>pisciculture_traitement_eau</vt:lpstr>
      <vt:lpstr>pisciculture_autor_agrement</vt:lpstr>
      <vt:lpstr>pisciculture_transmission</vt:lpstr>
      <vt:lpstr>algoculture_espece_adulte</vt:lpstr>
      <vt:lpstr>algoculture_region_adulte</vt:lpstr>
      <vt:lpstr>algoculture_evenements_except</vt:lpstr>
      <vt:lpstr>algoculture_selon_transfo</vt:lpstr>
      <vt:lpstr>algoculture_selon_destination</vt:lpstr>
      <vt:lpstr>algoculture_selon_export</vt:lpstr>
      <vt:lpstr>algoculture_selon_qualite</vt:lpstr>
      <vt:lpstr>algoculture_statut</vt:lpstr>
      <vt:lpstr>algoculture_site</vt:lpstr>
      <vt:lpstr>algoculture_activite_pincipale</vt:lpstr>
      <vt:lpstr>algoculture_activite_secondaire</vt:lpstr>
      <vt:lpstr>algoculture_compta</vt:lpstr>
      <vt:lpstr>algoculture_conseil</vt:lpstr>
      <vt:lpstr>algoculture_assurance</vt:lpstr>
      <vt:lpstr>algoculture_innovation</vt:lpstr>
      <vt:lpstr>algoculture_AMTI</vt:lpstr>
      <vt:lpstr>algoculture_rejet</vt:lpstr>
      <vt:lpstr>algoculture_energie</vt:lpstr>
      <vt:lpstr>algoculture_navire</vt:lpstr>
      <vt:lpstr>algoculture_transmission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anael.delorme</dc:creator>
  <cp:lastModifiedBy>anael.delorme</cp:lastModifiedBy>
  <dcterms:created xsi:type="dcterms:W3CDTF">2020-10-08T17:04:37Z</dcterms:created>
  <dcterms:modified xsi:type="dcterms:W3CDTF">2020-12-17T18:08:50Z</dcterms:modified>
</cp:coreProperties>
</file>